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6750" activeTab="6"/>
  </bookViews>
  <sheets>
    <sheet name="CUESTIONARIO" sheetId="1" r:id="rId1"/>
    <sheet name="P y G" sheetId="2" r:id="rId2"/>
    <sheet name="Tesorería" sheetId="3" r:id="rId3"/>
    <sheet name="Balance" sheetId="4" r:id="rId4"/>
    <sheet name="P y G año 2 y 3" sheetId="5" r:id="rId5"/>
    <sheet name="Balance año 2 y 3" sheetId="6" r:id="rId6"/>
    <sheet name="Explicaciones" sheetId="7" r:id="rId7"/>
  </sheets>
  <definedNames>
    <definedName name="_xlnm.Print_Area" localSheetId="3">'Balance'!$A$1:$N$40</definedName>
    <definedName name="_xlnm.Print_Area" localSheetId="5">'Balance año 2 y 3'!$A$1:$E$42</definedName>
    <definedName name="_xlnm.Print_Area" localSheetId="0">'CUESTIONARIO'!$A$1:$J$262</definedName>
    <definedName name="_xlnm.Print_Area" localSheetId="1">'P y G'!$A$1:$N$32</definedName>
    <definedName name="_xlnm.Print_Area" localSheetId="4">'P y G año 2 y 3'!$A$1:$E$31</definedName>
    <definedName name="_xlnm.Print_Area" localSheetId="2">'Tesorería'!$A$1:$O$31</definedName>
  </definedNames>
  <calcPr fullCalcOnLoad="1"/>
</workbook>
</file>

<file path=xl/sharedStrings.xml><?xml version="1.0" encoding="utf-8"?>
<sst xmlns="http://schemas.openxmlformats.org/spreadsheetml/2006/main" count="643" uniqueCount="406">
  <si>
    <t>Si estás pensando en abrir tu propia empresa, te ofrecemos la posibilidad de obtener un plan financiero a tu medida. Para ello, tan</t>
  </si>
  <si>
    <t>sólo tienes que rellenar con atención el siguiente cuestionario. Puedes cambiar las variables tantas veces como creas necesario,</t>
  </si>
  <si>
    <t>para comprobar cuál sería su efecto en la contabilidad del primer año de vida de la empresa. Sin embargo, no debes olvidar que es</t>
  </si>
  <si>
    <t>un supuesto y que, todos los datos que obtengas no dejan de ser aproximados.</t>
  </si>
  <si>
    <t>Las casillas que debes rellenar están marcadas con azul.</t>
  </si>
  <si>
    <t>1. ¿VAS A ESTABLECERTE COMO UNA SOCIEDAD? (responder "si" o "no")</t>
  </si>
  <si>
    <t xml:space="preserve">2. CAPITAL Y PRÉSTAMO: </t>
  </si>
  <si>
    <t>A. Aportación de capital que vas a realizar (sin tener en cuenta el préstamo)</t>
  </si>
  <si>
    <t>B. Si necesitas pedir un préstamo para iniciar la actividad empresarial, rellena los siguientes datos:</t>
  </si>
  <si>
    <t>NOTA: ES IMPRESCINDIBLE RELLENAR LOS TRES APARTADOS. SI NO VAS A SOLICITARLO NO PONGAS NADA</t>
  </si>
  <si>
    <t xml:space="preserve">A. Importe del préstamo solicitado </t>
  </si>
  <si>
    <t>B. Tipo de interés anual</t>
  </si>
  <si>
    <t>C. Plazo del préstamo (en años)</t>
  </si>
  <si>
    <t xml:space="preserve">   Supuesto: A, B y C no varía a lo largo de la vida del préstamo.</t>
  </si>
  <si>
    <r>
      <t xml:space="preserve">3. VENTAS O PRESTACIÓN DE SERVICIOS: </t>
    </r>
    <r>
      <rPr>
        <sz val="10"/>
        <rFont val="Arial"/>
        <family val="2"/>
      </rPr>
      <t xml:space="preserve">En la siguiente tabla tienes que incluir la facturación mensual que consideras realista. </t>
    </r>
  </si>
  <si>
    <t xml:space="preserve">    También puedes "jugar" con los importes para conocer aquella que te permitiría cubrir gastos.</t>
  </si>
  <si>
    <t xml:space="preserve"> </t>
  </si>
  <si>
    <t>MES</t>
  </si>
  <si>
    <t>IMPORTE FACTURACIÓN</t>
  </si>
  <si>
    <r>
      <t xml:space="preserve">4. APROVISIONAMIENTOS / COMPRAS. </t>
    </r>
    <r>
      <rPr>
        <sz val="10"/>
        <rFont val="Arial"/>
        <family val="2"/>
      </rPr>
      <t>En el supuesto de que la actividad de tu empresa se centre en la prestación de servicios, no será</t>
    </r>
  </si>
  <si>
    <t xml:space="preserve">    necesario que rellenes la siguiente tabla. Tan sólo si te dedicas a la fabricación o comercialización de un determinado producto, debes</t>
  </si>
  <si>
    <t xml:space="preserve">    estimar cada mes el importe de las materias primas y mercaderías que necesitas para la fabricación mensual o las compras de los</t>
  </si>
  <si>
    <t xml:space="preserve">    productos que más tarde venderás.</t>
  </si>
  <si>
    <t>IMPORTE COMPRAS</t>
  </si>
  <si>
    <r>
      <t xml:space="preserve">5. STOCK DE SEGURIDAD. </t>
    </r>
    <r>
      <rPr>
        <sz val="10"/>
        <rFont val="Arial"/>
        <family val="2"/>
      </rPr>
      <t xml:space="preserve">En este punto tienes que indicar el valor en euros de la mercancía -en el supuesto de que sea necesario- que </t>
    </r>
  </si>
  <si>
    <t xml:space="preserve">    vas a tener de forma permanente en el almacén. Por ejemplo, si vas a montar un bar de copas, necesitarás un stock mínimo, para  no </t>
  </si>
  <si>
    <t xml:space="preserve">    quedarte nunca sin mercancías. Si te dedicas a la prestación de servicios, al igual que en punto anterior,  no necesitarás almacenarlo.</t>
  </si>
  <si>
    <r>
      <t xml:space="preserve">6. GASTOS DE PERSONAL. </t>
    </r>
    <r>
      <rPr>
        <sz val="10"/>
        <rFont val="Arial"/>
        <family val="2"/>
      </rPr>
      <t>Rellena una fila de la tabla siguente por cada trabajador que estimes que vas a contratar P</t>
    </r>
    <r>
      <rPr>
        <sz val="10"/>
        <rFont val="Arial"/>
        <family val="0"/>
      </rPr>
      <t xml:space="preserve">uedes determinar </t>
    </r>
  </si>
  <si>
    <t xml:space="preserve">    diferentes sueldos dependiendo de la categoría profesional. Introduce el sueldo bruto anual con el que retribuirás a cada trabajador y </t>
  </si>
  <si>
    <t xml:space="preserve">    el resto de la tabla se rellenará de forma automática.</t>
  </si>
  <si>
    <t>TRABAJADORES</t>
  </si>
  <si>
    <t>Categoría Profesional</t>
  </si>
  <si>
    <t>Sueldo bruto anual (14 pagas)</t>
  </si>
  <si>
    <t>Seguridad Social anual a cargo empresa</t>
  </si>
  <si>
    <t>Seguridad Social anual a cargo del trabajador</t>
  </si>
  <si>
    <t>% de IRPF</t>
  </si>
  <si>
    <t>TOTALES</t>
  </si>
  <si>
    <t>Media ponderada de los % de retención</t>
  </si>
  <si>
    <t>EMPRENDEDORES</t>
  </si>
  <si>
    <t>Sueldo bruto anual</t>
  </si>
  <si>
    <t>Seguridad Social anual</t>
  </si>
  <si>
    <r>
      <t xml:space="preserve">Nota 1: TRABAJADORES: </t>
    </r>
    <r>
      <rPr>
        <sz val="10"/>
        <rFont val="Arial"/>
        <family val="0"/>
      </rPr>
      <t>Para simplificar hemos supuesto tres tramos en el porcentaje de retención de IRPF de los trabajadores.</t>
    </r>
  </si>
  <si>
    <t>Por eso, su importe es aproximado al depender de otros factores además del nivel de renta: situación familiar, edad,</t>
  </si>
  <si>
    <t>tipo de contrato, discapacidades, etc. El cálculo de la seguridad social también está simplificado mediante un tipo de cotización</t>
  </si>
  <si>
    <t>aproximado, ya que éste varía en función de la actividad de la empresa y del puesto de trabajo.</t>
  </si>
  <si>
    <r>
      <t xml:space="preserve">Nota 2: EMPRENDEDORES: </t>
    </r>
    <r>
      <rPr>
        <sz val="10"/>
        <rFont val="Arial"/>
        <family val="0"/>
      </rPr>
      <t xml:space="preserve">En cuanto a la seguridad social del emprendedor, en el caso de que se establezca como </t>
    </r>
  </si>
  <si>
    <t>autónomo, suponemos que opta por la cotización mínima durante los primeros años de vida de la empresa.</t>
  </si>
  <si>
    <t>7. OTROS GASTOS.</t>
  </si>
  <si>
    <t>A. Alquiler del centro de trabajo (local, oficina, taller...)</t>
  </si>
  <si>
    <t>Euros / mes</t>
  </si>
  <si>
    <t>B. Consumo de agua y luz</t>
  </si>
  <si>
    <t>C. Consumo de teléfono</t>
  </si>
  <si>
    <t>D. Gasto en publicidad y relaciones públicas</t>
  </si>
  <si>
    <t>E. Servicios contratados (subcontratación..)</t>
  </si>
  <si>
    <t>F. Otros suministros y servicios: material oficina, etc.</t>
  </si>
  <si>
    <t>G. Tributos: Impuesto de Actividades Económicas (IAE), etc.</t>
  </si>
  <si>
    <t>AGUA/LUZ</t>
  </si>
  <si>
    <t>TELÉFONO</t>
  </si>
  <si>
    <t>PUBLICIDAD</t>
  </si>
  <si>
    <t>SERV. CONTRATADOS</t>
  </si>
  <si>
    <t>OTROS</t>
  </si>
  <si>
    <t>TRIBUTOS</t>
  </si>
  <si>
    <t xml:space="preserve">8. INGRESOS Y GASTOS FINANCIEROS. </t>
  </si>
  <si>
    <t>A. Ingresos financieros. En este apartado se incluirían los intereses de créditos de la empresa, de valores en renta fija,</t>
  </si>
  <si>
    <t xml:space="preserve">    descuentos sobre compras por pronto pago, diferencias positivas de cambio, etc. Para simplificar, lo hemos considerado como un ingreso</t>
  </si>
  <si>
    <t xml:space="preserve">    no significativo el primer año de vida de una empresa y, por eso, no aparecerá en la cuenta de resultados de la empresa. </t>
  </si>
  <si>
    <t xml:space="preserve">B. Gastos financieros. Son, entre otros, intereses de obligaciones y bonos, de deudas a largo y corto plazo, descuentos </t>
  </si>
  <si>
    <t xml:space="preserve">    sobre ventas por pronto pago y diferencias negativas de cambio. Para simplificar, sólo incluimos los gastos derivados del </t>
  </si>
  <si>
    <t xml:space="preserve">    préstamo (intereses), ya calculados de forma automática en el apartado 2 del cuestionario.</t>
  </si>
  <si>
    <t xml:space="preserve">9. INGRESOS Y GASTOS EXTRAORDINARIOS. </t>
  </si>
  <si>
    <t xml:space="preserve">A. Ingresos extraordinarios. En este punto debes incluir todos aquellos ingresos que no se derivan de la actidad ordinaria </t>
  </si>
  <si>
    <t xml:space="preserve">     de la empresa. Por ejemplo: la ganancia derivada de la venta de un inmovilizado.</t>
  </si>
  <si>
    <t xml:space="preserve">B. Gastos extraordinarios. Incluye todos los gastos no asociados a los ingresos propios de la actidad ordinaria de la </t>
  </si>
  <si>
    <t xml:space="preserve">    empresa. Por ejemplo: multas, indemnizaciones, etc.</t>
  </si>
  <si>
    <t>INGRESOS</t>
  </si>
  <si>
    <t>GASTOS</t>
  </si>
  <si>
    <t>10. INMOVILIZADO:</t>
  </si>
  <si>
    <t xml:space="preserve">1. Gastos de Primer Establecimiento (de constitución): </t>
  </si>
  <si>
    <t>2. Inmovilizado Inmaterial: aplicaciones informáticas, derechos de bienes de leasing, otro tipo de derechos,</t>
  </si>
  <si>
    <t xml:space="preserve">    concesiones y patentes....</t>
  </si>
  <si>
    <t>3. Inmovililzaciones Materiales: Instalaciones técnicas y maquinaria, mobiliario, otro tipo de inmovilizado,</t>
  </si>
  <si>
    <t xml:space="preserve">    terrenos y construcciones....</t>
  </si>
  <si>
    <t xml:space="preserve">4. Inmovilizado financiero: depósitos y fianzas constituidas (por ejemplo la fianza del local), créditos que </t>
  </si>
  <si>
    <t xml:space="preserve">    se puedan hacer a otras otras empresas o a empleados...</t>
  </si>
  <si>
    <r>
      <t xml:space="preserve">AMORTIZACIONES: </t>
    </r>
    <r>
      <rPr>
        <sz val="10"/>
        <rFont val="Arial"/>
        <family val="2"/>
      </rPr>
      <t>Hacienda facilita una tabla de amortización con un porcentaje mínimo y máximo de aplicación</t>
    </r>
  </si>
  <si>
    <t xml:space="preserve">dependiendo del tipo de inmovilizado del que se trate. Según criterio del emprendedor, le interesará amortizar al número </t>
  </si>
  <si>
    <t>máximo de años o al mínimo. Si amortizamos al mínimo de años posible, el gasto aplicado cada año es mayor y , por tanto,</t>
  </si>
  <si>
    <t xml:space="preserve">el beneficio es menor. Esto puede interesar en términos fiscales para un menor pago de impuestos. Si, por </t>
  </si>
  <si>
    <t>el contrario, aplicamos el máximo de años en la amortización, los gastos imputados serán menores y el beneficio declarado</t>
  </si>
  <si>
    <t>mayor. Esta opción interesará si lo que pretendemos es dar una imagen solvente de la empresa.</t>
  </si>
  <si>
    <t>En nuestro supuesto aplicamos un tipo medio.</t>
  </si>
  <si>
    <t>1. Gastos de Primer Establecimiento. Se debe amortizar en un máximo de 5 años:</t>
  </si>
  <si>
    <t>años</t>
  </si>
  <si>
    <t>2. Inmovilizado Inmaterial:</t>
  </si>
  <si>
    <t>3. Inmovililzaciones Materiales:</t>
  </si>
  <si>
    <r>
      <t>11. CLIENTES.</t>
    </r>
    <r>
      <rPr>
        <sz val="10"/>
        <rFont val="Arial"/>
        <family val="2"/>
      </rPr>
      <t xml:space="preserve"> Incluye las deudas que nuestros clientes adquieren con nosotros. Se incluiran los importes de los clientes que no paguen </t>
    </r>
  </si>
  <si>
    <t xml:space="preserve">      en el acto, sino que lo hagan pasado un plazo estimado por la empresa. El importe desaparecerá del activo del balande una vez se </t>
  </si>
  <si>
    <t xml:space="preserve">      ventas (en euros, no es haya liquidado la deuda. De la estimación de ventas que has efectuado en el punto 3, indica en la siguiente </t>
  </si>
  <si>
    <t xml:space="preserve">      tabla qué parte de dichas porcentaje) se efecturán con cobro aplazado.</t>
  </si>
  <si>
    <r>
      <t>12. ACREEDORES COMERCIALES.</t>
    </r>
    <r>
      <rPr>
        <sz val="10"/>
        <rFont val="Arial"/>
        <family val="2"/>
      </rPr>
      <t xml:space="preserve"> Incluye las deudas que la empresa ha adquirido con los proveedores propios de la actividad comercial.</t>
    </r>
  </si>
  <si>
    <t xml:space="preserve">      Dependiendo de la posición de la empresa y del sector, se puede llegar a pagar a proveedores a 30, 60 ó 90 días. En este punto no</t>
  </si>
  <si>
    <t xml:space="preserve">      se incluirá la compra de mercaderías que se abone en el acto. Al igual que en el apartado anterior, una vez hayas liquidado la deuda, </t>
  </si>
  <si>
    <t xml:space="preserve">      esta desaparecerá del pasivo del balance. De la estimación de compras que has efectuado en el punto 4, indica en la siguiente tabla </t>
  </si>
  <si>
    <t xml:space="preserve">      qué parte de esas compras (en euros, no en porcentaje) se efecturán con pago aplazado.</t>
  </si>
  <si>
    <t>COMPRAS</t>
  </si>
  <si>
    <t>Total</t>
  </si>
  <si>
    <t>1. Ventas / Prestación de servicios</t>
  </si>
  <si>
    <t>1. Aprovisionamientos / compras</t>
  </si>
  <si>
    <t>2. Gastos de personal</t>
  </si>
  <si>
    <t>3. Otros gastos</t>
  </si>
  <si>
    <t xml:space="preserve">    Alquileres</t>
  </si>
  <si>
    <t xml:space="preserve">    Suministros</t>
  </si>
  <si>
    <t xml:space="preserve">    Publicidad</t>
  </si>
  <si>
    <t xml:space="preserve">    Servicios contratados</t>
  </si>
  <si>
    <t xml:space="preserve">    Otros suministros y servicios</t>
  </si>
  <si>
    <t xml:space="preserve">    Tributos</t>
  </si>
  <si>
    <t>4. Amortizaciones</t>
  </si>
  <si>
    <t>RESULTADO DE EXPLOTACIÓN</t>
  </si>
  <si>
    <t>2. Gastos financieros</t>
  </si>
  <si>
    <t>RESULTADO ORDINARIO</t>
  </si>
  <si>
    <t>1. Ingresos Extraordinarios</t>
  </si>
  <si>
    <t>2. Gastos Extraordinarios</t>
  </si>
  <si>
    <t>BENEFICIO ANTES DE IMPUESTOS</t>
  </si>
  <si>
    <t>Impuesto de Sociedades</t>
  </si>
  <si>
    <t>BENEFICIO DESPUÉS DE IMPUESTOS</t>
  </si>
  <si>
    <t>INGRESOS EXTRAORDINARIOS</t>
  </si>
  <si>
    <t>INMOVILIZADO</t>
  </si>
  <si>
    <t>1. Gastos establecimiento</t>
  </si>
  <si>
    <t>2. Inmovilizado Inmaterial</t>
  </si>
  <si>
    <t>3. Inmovilizado Material</t>
  </si>
  <si>
    <t>4. Inmovilizado financiero</t>
  </si>
  <si>
    <t>GASTOS FINANCIEROS</t>
  </si>
  <si>
    <t>GASTOS EXTRAORDINARIOS</t>
  </si>
  <si>
    <t>EXPLICACIONES</t>
  </si>
  <si>
    <t>CUENTA DE RESULTADOS.</t>
  </si>
  <si>
    <t xml:space="preserve">Incluye todos los ingresos y gastos mensuales del negocio, con independencia del momento en que se hayan hecho efectivos. </t>
  </si>
  <si>
    <t xml:space="preserve">Por ejemplo, si en el mes de enero pagas una campaña  publicitaria para febrero, el gasto se debe contabilizar en este último </t>
  </si>
  <si>
    <t xml:space="preserve">periodo, aunque el pago se haya realizado en enero. Cada mes la cuenta de pérdidas y ganancias te informará sobre el beneficio que </t>
  </si>
  <si>
    <t>obtienes y al final del año de las pérdidas -si el resultado es negativo- o ganancias -si es positivo- que has obtenido.</t>
  </si>
  <si>
    <t>volver a cuenta de resultados</t>
  </si>
  <si>
    <t>VENTAS / PRESTACIÓN DE SERVICIOS.</t>
  </si>
  <si>
    <t xml:space="preserve">Esta cuenta recoge la facturación mensual del negocio. En ella se incluirán los ingresos derivados de toda aquella prestación </t>
  </si>
  <si>
    <t>de servicio o comercialización de bienes considerados como objeto del tráfico de la empresa - por ejemplo, las prendas</t>
  </si>
  <si>
    <t>de vestir para una tienda de ropa o la gestión de una transferencia en tráfico para una gestoría -. La forma de contabilizar</t>
  </si>
  <si>
    <t>esta partida es a través de un ingreso en la cuenta de pérdidas y ganancias y como un cobro en tesorería, por lo que el efecto</t>
  </si>
  <si>
    <r>
      <t xml:space="preserve">es de un incremento en la cuenta </t>
    </r>
    <r>
      <rPr>
        <i/>
        <sz val="10"/>
        <rFont val="Arial"/>
        <family val="2"/>
      </rPr>
      <t>tesorería</t>
    </r>
    <r>
      <rPr>
        <sz val="10"/>
        <rFont val="Arial"/>
        <family val="0"/>
      </rPr>
      <t xml:space="preserve"> del activo de balance. En el supuesto de que se cobre en el acto sólo una parte</t>
    </r>
  </si>
  <si>
    <r>
      <t xml:space="preserve">de las mercaderías -o toda- , el importe que no se haya hecho efectivo incrementaría la cuenta </t>
    </r>
    <r>
      <rPr>
        <i/>
        <sz val="10"/>
        <rFont val="Arial"/>
        <family val="2"/>
      </rPr>
      <t>clientes</t>
    </r>
    <r>
      <rPr>
        <sz val="10"/>
        <rFont val="Arial"/>
        <family val="0"/>
      </rPr>
      <t xml:space="preserve"> del activo del balance.</t>
    </r>
  </si>
  <si>
    <t>APROVISIONAMIENTOS / COMPRAS</t>
  </si>
  <si>
    <t xml:space="preserve">Es el aprovisionamiento por parte de la empresa de objetos destinados a la venta sin transformación. Es decir, es lo que </t>
  </si>
  <si>
    <t>le cuesta a la empresa adquirir los productos -o realizar el servicio- que posteriormente se va a comercializar. La forma de</t>
  </si>
  <si>
    <t xml:space="preserve">contabilizar esta partida es similar a la de las ventas, solo que su repercusión es contraria, es decir, actúa como gasto en </t>
  </si>
  <si>
    <r>
      <t xml:space="preserve">pérdidas y ganancias y como pago en tesorería, por lo que el efecto es de disminución en la cuenta </t>
    </r>
    <r>
      <rPr>
        <i/>
        <sz val="10"/>
        <rFont val="Arial"/>
        <family val="2"/>
      </rPr>
      <t>tesorería</t>
    </r>
    <r>
      <rPr>
        <sz val="10"/>
        <rFont val="Arial"/>
        <family val="0"/>
      </rPr>
      <t xml:space="preserve"> del activo del </t>
    </r>
  </si>
  <si>
    <r>
      <t xml:space="preserve">del balance. Si se pagan a plazos, el importe a deber incrementaría la cuenta </t>
    </r>
    <r>
      <rPr>
        <i/>
        <sz val="10"/>
        <rFont val="Arial"/>
        <family val="2"/>
      </rPr>
      <t>acreedores comerciales</t>
    </r>
    <r>
      <rPr>
        <sz val="10"/>
        <rFont val="Arial"/>
        <family val="0"/>
      </rPr>
      <t xml:space="preserve"> del pasivo del balance.</t>
    </r>
  </si>
  <si>
    <t>GASTOS DE PERSONAL</t>
  </si>
  <si>
    <t>Al aplicarse el criterio de devengo, tendremos que contabilizar cada mes el gasto proporcional de los trabajadores.</t>
  </si>
  <si>
    <t>ALQUILERES</t>
  </si>
  <si>
    <t xml:space="preserve">Incluyen los arrendamientos devengados por el alquiler de bienes muebles e inmuebles en uso o a disposición de la empresa. </t>
  </si>
  <si>
    <t xml:space="preserve">En nuestro supuesto incluimos el alquiler de la oficina. Ten en cuenta que la fianza que pagarás por el alquiler del centro de </t>
  </si>
  <si>
    <r>
      <t xml:space="preserve">trabajo -normalmente por el valor de dos meses de mensualidad- no se considera como un gasto, sino como un </t>
    </r>
    <r>
      <rPr>
        <i/>
        <sz val="10"/>
        <rFont val="Arial"/>
        <family val="2"/>
      </rPr>
      <t>inmovilizado</t>
    </r>
    <r>
      <rPr>
        <sz val="10"/>
        <rFont val="Arial"/>
        <family val="0"/>
      </rPr>
      <t xml:space="preserve"> </t>
    </r>
  </si>
  <si>
    <r>
      <t>financiero</t>
    </r>
    <r>
      <rPr>
        <sz val="10"/>
        <rFont val="Arial"/>
        <family val="0"/>
      </rPr>
      <t xml:space="preserve"> -activo del balance-, ya que una vez decidamos dejar el centro de trabajo arrendado, nos la devolverán de forma íntegra.</t>
    </r>
  </si>
  <si>
    <t>SUMINISTROS</t>
  </si>
  <si>
    <t>En la partida de suministros hemos incluido el agua, la luz y el teléfono. En ella se podrán incluir todos aquellos abastecimientos</t>
  </si>
  <si>
    <t>que no tenga la cualidad de almacenables.</t>
  </si>
  <si>
    <t xml:space="preserve">Este apartado recoge todos los gastos derivados de la publicidad, propaganda y relaciones públicas (impresión de tarjetas </t>
  </si>
  <si>
    <t>publicitarias, anuncios en revistas, etc)</t>
  </si>
  <si>
    <t>SERVICIOS CONTRATADOS</t>
  </si>
  <si>
    <t xml:space="preserve">Incluye el importe derivado de la prestación de servicios a la empresa de profesionales independientes. Por ejemplo, los </t>
  </si>
  <si>
    <t>honorarios de abogados, gestores, economistas, notarios, etc.</t>
  </si>
  <si>
    <t>OTROS SUMINISTROS Y SERVICIOS</t>
  </si>
  <si>
    <t xml:space="preserve">Incluiremos en esta cuenta todos los gastos de servicios exteriores no incluidos en las cuentas anteriores. Por ejemplo, la compra </t>
  </si>
  <si>
    <t xml:space="preserve">de material de oficina o los derivados de viajes de trabajo del personal. </t>
  </si>
  <si>
    <t>TRIBUTOS.</t>
  </si>
  <si>
    <t xml:space="preserve">Incluye el Impuesto de Actividades Económicas (IAE), las tasas específicas a pagar por la actividad propia de la empresa... </t>
  </si>
  <si>
    <t>AMORTIZACIONES</t>
  </si>
  <si>
    <r>
      <t xml:space="preserve">Para simplificar hemos agregado la </t>
    </r>
    <r>
      <rPr>
        <i/>
        <sz val="10"/>
        <rFont val="Arial"/>
        <family val="2"/>
      </rPr>
      <t>Dotación para la amortización</t>
    </r>
    <r>
      <rPr>
        <sz val="10"/>
        <rFont val="Arial"/>
        <family val="0"/>
      </rPr>
      <t>, que está compuesta por la destinada a amortizar el</t>
    </r>
  </si>
  <si>
    <t xml:space="preserve">inmovilizado material, inmaterial y los gastos de establecimiento. La finalidad de la amortización es imputar el gasto de forma </t>
  </si>
  <si>
    <t xml:space="preserve">gradual a la cuenta de Pérdidas y Ganancias. Por ejemplo, si compramos un coche para la empresa por 15.000 euros y lo </t>
  </si>
  <si>
    <t xml:space="preserve">amortizamos a 4 años, nos dará una amortización de 3.750 euros/año -312 euros/mes-. El apunte contable que tendremos que </t>
  </si>
  <si>
    <r>
      <t xml:space="preserve">realizar todos los meses incrementará en ese importe la cuenta </t>
    </r>
    <r>
      <rPr>
        <i/>
        <sz val="10"/>
        <rFont val="Arial"/>
        <family val="2"/>
      </rPr>
      <t>Amortización acumulada para el inmovilizado</t>
    </r>
    <r>
      <rPr>
        <sz val="10"/>
        <rFont val="Arial"/>
        <family val="0"/>
      </rPr>
      <t xml:space="preserve"> del activo del</t>
    </r>
  </si>
  <si>
    <t>balance, que reduce el valor de la inversión realizada en el Inmovilizado. Por otro lado, en el mismo apunte también se</t>
  </si>
  <si>
    <r>
      <t xml:space="preserve">incrementará la </t>
    </r>
    <r>
      <rPr>
        <i/>
        <sz val="10"/>
        <rFont val="Arial"/>
        <family val="2"/>
      </rPr>
      <t>Dotación a la amortización del inmovilizado</t>
    </r>
    <r>
      <rPr>
        <sz val="10"/>
        <rFont val="Arial"/>
        <family val="0"/>
      </rPr>
      <t xml:space="preserve">, ubicada en la cuenta de resultados pasándose así de forma </t>
    </r>
  </si>
  <si>
    <t>paulatina el gasto de la compra del coche a la cuenta de pérdidas y ganancias.</t>
  </si>
  <si>
    <t>Para simplificar el supuesto tan sólo hemos incluido en este apartado los gastos financieros o intereses derivados de la solicitud</t>
  </si>
  <si>
    <t>de un préstamo en una entidad bancaria. Si no has rellenado nada en el apartado dos del cuestionario, la casilla aparecerá vacía.</t>
  </si>
  <si>
    <t>En esta cuenta aparecerán todos aquellos ingresos que no se deriven de la actividad propia de la empresa como, por ejemplo,</t>
  </si>
  <si>
    <t>aquellos que son consecuencia de la venta imprevista de un inmovilizado.</t>
  </si>
  <si>
    <t>En esta cuenta aparecerán todos aquellos gastos que no se deriven de la actividad propia de la empresa como, por ejemplo,</t>
  </si>
  <si>
    <t>aquellos derivados del robo de un inmovilizado.</t>
  </si>
  <si>
    <t>IMPUESTO DE SOCIEDADES</t>
  </si>
  <si>
    <t xml:space="preserve">Recoge el impuesto sobre beneficios devengado en el ejercicio. Para su cálculo hay que multiplicar el beneficio antes de </t>
  </si>
  <si>
    <t>impuestos por una tasa impositiva.</t>
  </si>
  <si>
    <t>PRESUPUESTO DE TESORERÍA.</t>
  </si>
  <si>
    <t xml:space="preserve">Incluye todos los pagos y cobros en el momento en que se hacen efectivos, con independencia de cuándo se tenga que imputar </t>
  </si>
  <si>
    <t xml:space="preserve">el gasto en la cuenta de resultados. El interés de la tesorería es que te permite conocer la liquidez de la empresa en cada </t>
  </si>
  <si>
    <t xml:space="preserve">momento. Así, el saldo obtenido -diferencia entre pagos y cobros- te ayudará a planificar las futuras inversiones, si hay </t>
  </si>
  <si>
    <t>excedente de tesorería, o la necesidad de solicitar un préstamo si se prevee falta de liquidez en un futuro.</t>
  </si>
  <si>
    <t>volver a presupuesto de tesorería</t>
  </si>
  <si>
    <t>COBROS.</t>
  </si>
  <si>
    <t xml:space="preserve">En todas las cuentas incluidas dentro de este epígrafe, se aplica el criterio de caja, es decir, se contabiliza el cobro en el </t>
  </si>
  <si>
    <t xml:space="preserve">momento en el que se hace efectivo. Por ejemplo, si vendemos un inmovilizado en el mes de abril, pero el comprador hace </t>
  </si>
  <si>
    <t xml:space="preserve">efectivo el pago en el mes de mayo, en tesorería se tendrá que contabilizar en el mes de mayo y en Perdidas y Ganancias, </t>
  </si>
  <si>
    <t>por el criterio de devengo, en abril.</t>
  </si>
  <si>
    <t>ENTRADA EN CAJA POR VENTAS / PRESTACIÓN DE SERVICIOS.</t>
  </si>
  <si>
    <t>Este apartado recoge el cobro por las ventas o prestaciones de servicio en el momento en que recibimos el dinero en efectivo</t>
  </si>
  <si>
    <t>con independencia de cuándo de hayan entregado las mercaderias o prestado el servicio.</t>
  </si>
  <si>
    <t>INGRESOS EXTRAORDINARIOS.</t>
  </si>
  <si>
    <t>Este apartado recoge los ingresos extraordinarios en el momento en que se haga efectivo el cobro de los mismos por tesorería.</t>
  </si>
  <si>
    <t>CAPITAL.</t>
  </si>
  <si>
    <t>Esta cuenta recoge el importe total del capital puesto por el emprendedor/es. Hemos supuesto que se aporta todo de una</t>
  </si>
  <si>
    <t>vez en el mes de enero (el primer periodo del inicio de la actividad empresarial). En el balance se mantendrá constante.</t>
  </si>
  <si>
    <t>volver a balance</t>
  </si>
  <si>
    <t>PRÉSTAMO.</t>
  </si>
  <si>
    <t>Esta cuenta recoge el importe total del préstamo solicitado por el emprendedor/es. Hemos supuesto que se recibe todo de una</t>
  </si>
  <si>
    <t>vez en el mes de enero (el primer periodo del inicio de la actividad empresarial).</t>
  </si>
  <si>
    <t>PAGOS.</t>
  </si>
  <si>
    <t>En todas las cuentas incluidas dentro de este epígrafe, se aplica el criterio de caja, es decir, se contabiliza el pago en el</t>
  </si>
  <si>
    <t xml:space="preserve">momento en el que se hace efectivo. Por ejemplo, si pagamos por adelantado el mes de la oficina donde vamos a establecernos, </t>
  </si>
  <si>
    <t>en tesorería se tendrá en cuenta en el mes en el que se entrega el anticipo, no en el periodo en el que se devengue el gasto.</t>
  </si>
  <si>
    <t>SALIDA DE CAJA POR APROVISIONAMIENTOS / COMPRAS.</t>
  </si>
  <si>
    <t xml:space="preserve">Este apartado recoge el pago por las compras de las materias primas que con posterioridad se van a comercializar, en el </t>
  </si>
  <si>
    <t>momento en que entregamos el dinero en efectivo con independencia de cuándo de hayan recibido las mercaderias o prestado el</t>
  </si>
  <si>
    <t>servicio.</t>
  </si>
  <si>
    <t>STOCK DE SEGURIDAD.</t>
  </si>
  <si>
    <t>En el supuesto de que sea necesario mantener un stock de seguridad, asumimos que se pagará todo el primer mes de vida</t>
  </si>
  <si>
    <t xml:space="preserve">de la empresa a través de una salida de caja y, que en balance aparecerá constante todos los meses. </t>
  </si>
  <si>
    <t xml:space="preserve">Este apartado incluye el pago de los sueldos de los trabajadores y del emprendedor, asi como el de las retenciones, la Seguridad </t>
  </si>
  <si>
    <t xml:space="preserve">Social a cargo de la empresa y la que es a cargo del trabajador. </t>
  </si>
  <si>
    <t>PAGO DE NÓMINAS A TRABAJADORES + SUELDO DEL EMPRENDEDOR.</t>
  </si>
  <si>
    <t xml:space="preserve">Cada mes se contabilizará como nómina el sueldo bruto mensual de los trabajadores,  además del salario mensual que los </t>
  </si>
  <si>
    <t>emprendedores se hayan fijado. En cuanto a las pagas extras, suponiendo que se paguen en julio y diciembre, se tienen que</t>
  </si>
  <si>
    <t>contabilizar de forma íntegra en dichos periodos.</t>
  </si>
  <si>
    <t>INGRESO EN HACIENDA DE RETENCIONES A TRABAJADORES.</t>
  </si>
  <si>
    <t xml:space="preserve">El importe de IRPF a ingresar en Hacienda depende, además del nivel de renta de cada trabajador, de factores como la situación </t>
  </si>
  <si>
    <t xml:space="preserve">familiar o del tipo de contrato del personal asalariado. Para simplificar hemos utilizado tres tramos en el porcentaje de retención. </t>
  </si>
  <si>
    <t xml:space="preserve">Debido a que se paga a periodo vencido cada tres meses, el ingreso se hará efectivo en abril, julio, octubre y enero del año </t>
  </si>
  <si>
    <t>siguiente.</t>
  </si>
  <si>
    <t>PAGO COTIZACIÓN DE LA SEGURIDAD SOCIAL POR PARTE DE LA EMPRESA.</t>
  </si>
  <si>
    <t xml:space="preserve">Esta cuenta incluye la cotización de la Seguridad Social de todos los trabajadores que la empresa tiene la obligación de pagar en </t>
  </si>
  <si>
    <t xml:space="preserve">el organismo de la Seguridad Social correspondiente. En nuestro supuesto hemos simplificado los cálculos aplicando un  tipo de </t>
  </si>
  <si>
    <t>cotización aproximado e igual para todos los empleados, ya que este variará para cada trabajador dependiendo de la actividad de</t>
  </si>
  <si>
    <t xml:space="preserve">la empresa y del puesto de trabajo del mismo. </t>
  </si>
  <si>
    <t>INGRESO COTIZACIÓN SEGURIDAD SOCIAL POR PARTE DEL TRABAJADOR.</t>
  </si>
  <si>
    <t xml:space="preserve">Esta cuenta incluye la cotización de la Seguridad Social que todos los trabajadores asalariados tienen la obligación hacer efectiva. </t>
  </si>
  <si>
    <t xml:space="preserve">En nuestro supuesto hemos simplificado los cálculos aplicando un  tipo de cotización aproximado, ya que este variará para cada </t>
  </si>
  <si>
    <t>trabajador dependiendo de la actividad de la empresa y del puesto de trabajo del mismo.</t>
  </si>
  <si>
    <t>OTROS GASTOS.</t>
  </si>
  <si>
    <t xml:space="preserve">Incluye, en el momento en el que se hacen efectivos, todos los gastos de servicios exteriores que se han incluido en la cuenta de </t>
  </si>
  <si>
    <t>pérdidas y ganancias (alquileres, suministros, publicidad, servicios contratados, otros y tributos)</t>
  </si>
  <si>
    <t>aquellos derivados del robo de un inmovilizado. Se incluirán en el momento en que se hace efectivo el pago.</t>
  </si>
  <si>
    <t>DEVOLUCIÓN DEL PRÉSTAMO.</t>
  </si>
  <si>
    <t>En este apartado se incluyen el importe que vamos devolviendo del préstamo, la parte que corresponde al principal del mismo.</t>
  </si>
  <si>
    <t>BALANCE PREVISIONAL.</t>
  </si>
  <si>
    <t>Se compone del activo o cuentas que suponen una posesión o derecho a favor de la empresa -por ejemplo, el inmovilizado-,</t>
  </si>
  <si>
    <t>y por el pasivo o cuentas que indican una obligación o deuda -como por ejemplo la deuda adquirida por el préstamo con una</t>
  </si>
  <si>
    <t>entidad bancaria-. Activo y pasivo siempre deben coincidir.</t>
  </si>
  <si>
    <t>INMOVILIZADO.</t>
  </si>
  <si>
    <t xml:space="preserve">Incluye todos aquellos elementos del patrimonio que se destinan a servir de forma duradera para el desarrollo de la actividad de la </t>
  </si>
  <si>
    <t xml:space="preserve">empresa. Se dividen en gastos de establecimiento, inmovilizado material, inmovilizado inmaterial, inmovilizado financiero y gastos </t>
  </si>
  <si>
    <t>a distribuir en varios ejercicios -no incluido en el supuesto para simplificarlo-.</t>
  </si>
  <si>
    <t xml:space="preserve">En el balance, al ser acumulativo, tendrá el mismo importe todos los periodos, a no ser que se incremente al comprar más o </t>
  </si>
  <si>
    <t xml:space="preserve">disminuya al vender parte del mismo. El importe de la inversión realizada se verá disminuida por la amortización acumulada del </t>
  </si>
  <si>
    <t>activo del balance. En tesorería suponemos que la mitad del pago se realiza el primer mes de la actividad de la empresa, mientras</t>
  </si>
  <si>
    <t>que la otra mitad se paga el sexto mes para el caso de inmovilizado material e inmaterial, para el resto en enero.</t>
  </si>
  <si>
    <t>GASTOS DE ESTABLECIMIENTO.</t>
  </si>
  <si>
    <t xml:space="preserve">Incluye los gastos de constitución , los de primer establecimiento y los de ampliación de capital. Los de constitución serán todos </t>
  </si>
  <si>
    <t xml:space="preserve">aquellos de carácter jurídico en los que incurras para poder montar la empresa. Los de primer establecimiento son todos </t>
  </si>
  <si>
    <t>los generados hasta el inicio efectivo de la actividad empresarial</t>
  </si>
  <si>
    <t>En el balance, al ser acumulativo, tendrá el mismo importe todos los periodos. Su importe se minora a través de la amortización</t>
  </si>
  <si>
    <t>En tesorería suponemos que todo el pago se realiza el primer mes de vida de la empresa.</t>
  </si>
  <si>
    <t>AMORTIZACIÓN ACUMULADA DE GASTOS DE ESTABLECIMIENTO.</t>
  </si>
  <si>
    <t xml:space="preserve">La amortización aparece en el activo del balance disminuyendo el valor de la cuenta. En el caso de los gastos de establecimiento </t>
  </si>
  <si>
    <t>el número de años máximo a amortizar es de 5.</t>
  </si>
  <si>
    <t>INMOVILIZADO INMATERIAL.</t>
  </si>
  <si>
    <t xml:space="preserve">Es todo aquel elemento patrimonial intangible adquirido por la empresa. En este punto destaca la partida destinada a aplicaciones </t>
  </si>
  <si>
    <t xml:space="preserve">informática -software-, también hay que incluir, entre otros, propiedades industriales, derechos sobre bienes en régimen de </t>
  </si>
  <si>
    <t xml:space="preserve">arrendamiento financiero o gastos de investigación y desarrollo. </t>
  </si>
  <si>
    <t>disminuya al vender parte del mismo. En tesorería suponemos que la mitad del pago se realiza el primer mes de la actividad de</t>
  </si>
  <si>
    <t>la empresa, mientras que la otra mitad se paga el sexto mes.</t>
  </si>
  <si>
    <t>AMORTIZACIÓN ACUMULADA DEL INMOVILIZADO INMATERIAL.</t>
  </si>
  <si>
    <t xml:space="preserve">Corrige la depreciación del inmovilizado inmaterial, es decir, cada año el inmovilizado que hemos adquirido vale menos por la </t>
  </si>
  <si>
    <t xml:space="preserve">depreciación natural del mismo. Con esta cuenta vamos trasladando al balance el gasto reflejado en la cuenta de pérdidas </t>
  </si>
  <si>
    <r>
      <t xml:space="preserve">y ganancias a través de la </t>
    </r>
    <r>
      <rPr>
        <i/>
        <sz val="10"/>
        <rFont val="Arial"/>
        <family val="2"/>
      </rPr>
      <t>dotación a la amortización del inmovilizado inmaterial</t>
    </r>
    <r>
      <rPr>
        <sz val="10"/>
        <rFont val="Arial"/>
        <family val="0"/>
      </rPr>
      <t xml:space="preserve">. Cuando el valor del inmovilizado y el de la </t>
    </r>
  </si>
  <si>
    <t>amortización coincida significa que ya nos hemos imputado todo el gasto y que el valor de dicho inmovilizado es cero.</t>
  </si>
  <si>
    <t>INMOVILIZADO MATERIAL.</t>
  </si>
  <si>
    <t xml:space="preserve">En esta cuenta se incluyen los elementos patrimoniales tangibles, ya sean muebles o inmuebles. Por ejemplo: maquinaria, </t>
  </si>
  <si>
    <t>mobiliario, equipos informáticos, elementos de transporte, terrenos y bienes naturales, construcciones, etc.</t>
  </si>
  <si>
    <t>AMORTIZACIÓN ACUMULADA DEL INMOVILIZADO MATERIAL.</t>
  </si>
  <si>
    <t xml:space="preserve">Corrige la depreciación del inmovilizado material, es decir, cada año el inmovilizado que hemos adquirido vale menos por la </t>
  </si>
  <si>
    <r>
      <t xml:space="preserve">y ganancias a través de la </t>
    </r>
    <r>
      <rPr>
        <i/>
        <sz val="10"/>
        <rFont val="Arial"/>
        <family val="2"/>
      </rPr>
      <t>dotación a la amortización del inmovilizado material</t>
    </r>
    <r>
      <rPr>
        <sz val="10"/>
        <rFont val="Arial"/>
        <family val="0"/>
      </rPr>
      <t xml:space="preserve">. Cuando el valor del inmovilizado y el de la </t>
    </r>
  </si>
  <si>
    <t>INMOVILIZADO FINANCIERO.</t>
  </si>
  <si>
    <t xml:space="preserve">Son aquellas inversiones financieras con un vencimiento superior a un año: valores de renta fija, créditos a largo plazo, etc. </t>
  </si>
  <si>
    <t xml:space="preserve">En nuestro supuesto destaca la cuenta fianzas y depósitos constituidos a largo plazo que también se incluiría en este apartado. </t>
  </si>
  <si>
    <t xml:space="preserve">En ella habría que reflejar la fianza depositada por el alquiler del centro de trabajo, ya que suponemos que permaneceremos en la </t>
  </si>
  <si>
    <t xml:space="preserve">oficina - taller más de un año y que, por tanto, no nos la devolverán hasta que dejemos de alquilarlo. </t>
  </si>
  <si>
    <t>disminuya al vender parte del mismo. En tesorería suponemos que se paga todo el primer mes de actividad de la empresa.</t>
  </si>
  <si>
    <t>DEUDORES.</t>
  </si>
  <si>
    <t>Son las deudas que nuestros clientes adquieren con nosotros, ya sea por la venta o prestación de servicios de la actividad propia</t>
  </si>
  <si>
    <t>de la empresa o por alguna otra actividad que no sea la habitual, como por ejemplo la venta de un inmovilizado.</t>
  </si>
  <si>
    <t>CLIENTES.</t>
  </si>
  <si>
    <t xml:space="preserve">Son las deudas que nuestros clientes adquieren con nosotros. Incluye la parte de las ventas que no se han abonado en el acto, </t>
  </si>
  <si>
    <t xml:space="preserve">sino que cobraremos en un plazo de tiempo determinado por la empresa. El importe desaparecerá del activo del balance, según </t>
  </si>
  <si>
    <t xml:space="preserve">se vaya saldando dicha deuda. </t>
  </si>
  <si>
    <t>CRÉDITO POR PÉRDIDAS A COMPENSAR DEL EJERCICIO.</t>
  </si>
  <si>
    <t xml:space="preserve">Se incluye la reducción del impuesto sobre beneficios a pagar en el futuro derivada de la existencia de bases imponibles </t>
  </si>
  <si>
    <t>negativas de dicho impuesto pendientes de compensación.</t>
  </si>
  <si>
    <t>HACIENDA PÚBLICA, IVA SOPORTADO.</t>
  </si>
  <si>
    <t>Es el IVA devengado con motivo de la adquisiciónde bienes y servicios con carácter deducible. En el supuesto hemos</t>
  </si>
  <si>
    <t>TESORERÍA.</t>
  </si>
  <si>
    <t>En esta cuenta se recoge el presupuesto de tesorería calculado para cada uno de los periodos proyectados.</t>
  </si>
  <si>
    <t>PÉRDIDAS Y GANANCIAS.</t>
  </si>
  <si>
    <t>Esta cuenta recoge el beneficio después de impuestos de cada uno de los periodos proyectados.</t>
  </si>
  <si>
    <t>DEUDAS CON ENTIDADES DE CRÉDITO A L/P.</t>
  </si>
  <si>
    <t xml:space="preserve">Esta cuenta recoge el importe del préstamo que le debemos al banco. Cada mes le resta al total, la cantidad pagada de </t>
  </si>
  <si>
    <t>principal .</t>
  </si>
  <si>
    <t>OTROS ACREEDORES.</t>
  </si>
  <si>
    <t>Recoge el importe de las deudas a largo plazo que la empresa tiene con proveedores no comerciales, es decir, que provienen de</t>
  </si>
  <si>
    <t>compras no necesarias para la fabricación o desarrollo de la actividad propia de la empresa. Por ejemplo, compra del inmovilizado.</t>
  </si>
  <si>
    <t>ACREEDORES COMERCIALES.</t>
  </si>
  <si>
    <t xml:space="preserve">Son las deudas a corto plazo -menos de un año- que la empresa ha adquirido con los proveedores propios de la actividad </t>
  </si>
  <si>
    <t xml:space="preserve">comercial. Dependiendo de la posición de la empresa y del sector, se puede llegar a pagar a proveedores a 30, 60 ó 90 días. En </t>
  </si>
  <si>
    <t>este punto se incluirá la parte de las compras que no paguemos en el acto y que no supongan una salida de tesorería hasta unos</t>
  </si>
  <si>
    <t>meses después. Una vez vayamos saldando la deuda, el importe desaparecerá del pasivo del balance.</t>
  </si>
  <si>
    <t>OTRAS DEUDAS NO COMERCIALES.</t>
  </si>
  <si>
    <t>Son aquellas deudas a corto plazo -menos de un año- que no se derivan del desarrollo de la actividad propia de la empresa.</t>
  </si>
  <si>
    <t>HACIENDA PÚBLICA, IVA REPERCUTIDO.</t>
  </si>
  <si>
    <t>Incluye el importe de IVA devengado por la entrega de bienes o prestación de servicios. En nuestro supuesto hemos asumido que</t>
  </si>
  <si>
    <t>HACIENDA PÚBLICA, RETENCIONES TRABAJADORES.</t>
  </si>
  <si>
    <t xml:space="preserve">El IRPF se incluye como un pasivo del balance ya que es una deuda no comercial que la empresa tiene con Hacienda. Debido a </t>
  </si>
  <si>
    <t xml:space="preserve">que el IRPF se salda cada tres periodos y puesto que todas las cuentas de balance son acumulativas, en enero sólo aparecerá el </t>
  </si>
  <si>
    <t xml:space="preserve">IRPF correspondiente a un mes, en febrero a dos y en marzo a tres. Una vez se hayan liquidado en abril los tres meses anteriores, </t>
  </si>
  <si>
    <t>en ese mismo periodo se empezará a repetir la secuencia.</t>
  </si>
  <si>
    <t>REMUNERACIONES PENDIENTES DE PAGO.</t>
  </si>
  <si>
    <t xml:space="preserve">En esta cuenta se incluye el importe de las remuneraciones pendientes que quedan por liquidar al trabajador. El balance recoge </t>
  </si>
  <si>
    <t xml:space="preserve">datos acumulativos y, por eso, cada mes se añade a esta partida una doceava parte del importe correspondiente a las dos pagas </t>
  </si>
  <si>
    <t xml:space="preserve">extras de todos los trabajadores. Hemos supuesto que el pago se realiza en junio y en diciembre, por lo que en dichos meses, la </t>
  </si>
  <si>
    <t>cifra reflejada será nula al no quedar pagos pendientes devengados. Asimismo, también asumimos que los emprendedores no</t>
  </si>
  <si>
    <t>tienen pagas extras.</t>
  </si>
  <si>
    <t>HACIENDA PÚBLICA, ACREEDOR POR IMPUESTO DE SOCIEDADES.</t>
  </si>
  <si>
    <t>En esta cuenta se incluye el impuesto de sociedades pendiente de pago por parte de la empresa.</t>
  </si>
  <si>
    <t>BALANCE PREVISIONAL</t>
  </si>
  <si>
    <t xml:space="preserve">    Amortización Acumulada G. Establecimiento</t>
  </si>
  <si>
    <t xml:space="preserve">    Amortización Acumulada Inmov. Inmat</t>
  </si>
  <si>
    <t xml:space="preserve">   Amortización Acumulada Inmov Mat.</t>
  </si>
  <si>
    <t>ACTIVO CIRCULANTE</t>
  </si>
  <si>
    <t>1. Existencias (stock)</t>
  </si>
  <si>
    <t>2. Deudores</t>
  </si>
  <si>
    <t xml:space="preserve">   Clientes</t>
  </si>
  <si>
    <t xml:space="preserve">   Crédito por pérdidas a compensar del ejerc.</t>
  </si>
  <si>
    <t xml:space="preserve">   Hacienda Pública, IVA soportado</t>
  </si>
  <si>
    <t>3. Tesorería</t>
  </si>
  <si>
    <t>TOTAL ACTIVO</t>
  </si>
  <si>
    <t>FONDOS PROPIOS</t>
  </si>
  <si>
    <t>1. Capital suscrito</t>
  </si>
  <si>
    <t>2. Pérdidas y Ganancias</t>
  </si>
  <si>
    <t>ACREEDORES A LARGO PLAZO</t>
  </si>
  <si>
    <t>1. Deudas con entidades de crédito a l/p</t>
  </si>
  <si>
    <t>2. Otros acreedores</t>
  </si>
  <si>
    <t>ACREEDORES A CORTO PLAZO</t>
  </si>
  <si>
    <t>1. Acreedores comerciales</t>
  </si>
  <si>
    <t>2. Otras deudas no comerciales</t>
  </si>
  <si>
    <t xml:space="preserve">    Hacienda Pública, IVA repercutido</t>
  </si>
  <si>
    <t xml:space="preserve">    Hacienda Pública, retenciones trabajadores</t>
  </si>
  <si>
    <t xml:space="preserve">    Remuneraciones pendientes de pago</t>
  </si>
  <si>
    <t xml:space="preserve">    Hacienda Pública, acreedor por imp. Soc.</t>
  </si>
  <si>
    <t>TOTAL PASIVO</t>
  </si>
  <si>
    <t>PRESUPUESTO DE TESORERÍA</t>
  </si>
  <si>
    <t xml:space="preserve">Tesorería </t>
  </si>
  <si>
    <t>COBROS</t>
  </si>
  <si>
    <t>ENTRADA EN CAJA POR VENTAS/PREST. SERV.</t>
  </si>
  <si>
    <t>CAPITAL</t>
  </si>
  <si>
    <t>PRÉSTAMO</t>
  </si>
  <si>
    <t>TOTAL COBROS</t>
  </si>
  <si>
    <t>PAGOS</t>
  </si>
  <si>
    <t>SALIDA DE CAJA POR APROV / COMPRAS</t>
  </si>
  <si>
    <t>STOCK SEGURIDAD</t>
  </si>
  <si>
    <t>GASTOS PERSONAL</t>
  </si>
  <si>
    <t>1. Pago nóminas a trabajadores + sueldo emprendedor</t>
  </si>
  <si>
    <t>2. Ingreso en Hacienda de retenciones a trabajadores</t>
  </si>
  <si>
    <t>3. Pago cotización Seg. Soc. por parte de la empresa</t>
  </si>
  <si>
    <t>4. Ingreso cotización Seg. Soc. por parte trabajador</t>
  </si>
  <si>
    <t>OTROS GASTOS</t>
  </si>
  <si>
    <t>DEVOLUCIÓN DEL PRÉSTAMO</t>
  </si>
  <si>
    <t>TOTAL PAGOS</t>
  </si>
  <si>
    <t>SALDO TESORERÍA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</si>
  <si>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</si>
  <si>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</si>
  <si>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</si>
  <si>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</si>
  <si>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</si>
  <si>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</si>
  <si>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</si>
  <si>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</si>
  <si>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</si>
  <si>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</si>
  <si>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</si>
  <si>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</si>
  <si>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PERDIDAS Y GANANCIAS DEL  SEGUNDO Y TERCER AÑO</t>
  </si>
  <si>
    <t>AÑO 2</t>
  </si>
  <si>
    <t>AÑO 3</t>
  </si>
  <si>
    <t>BALANCE 2º Y 3 AÑO</t>
  </si>
  <si>
    <t>Suma Inmovilizado y Activo Circulante Sin Tesorería</t>
  </si>
  <si>
    <t xml:space="preserve">ACTIVO CIRCULANTE </t>
  </si>
  <si>
    <t>no</t>
  </si>
  <si>
    <t xml:space="preserve">Proyecto de empresa </t>
  </si>
  <si>
    <t>es siempre el 21%, sin embargo hay excepciones.</t>
  </si>
  <si>
    <t>asumido que es siempre el 21%, sin embargo hay excepciones.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</si>
</sst>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[$€-1]_-;\-* #,##0\ [$€-1]_-;_-* &quot;-&quot;??\ [$€-1]_-"/>
    <numFmt numFmtId="173" formatCode="_-* #,##0.00\ [$€-1]_-;\-* #,##0.00\ [$€-1]_-;_-* &quot;-&quot;??\ [$€-1]_-"/>
    <numFmt numFmtId="174" formatCode="0.0%"/>
    <numFmt numFmtId="175" formatCode="#,##0\ &quot;€&quot;"/>
    <numFmt numFmtId="176" formatCode="#,##0.00\ &quot;€&quot;"/>
    <numFmt numFmtId="177" formatCode="_-* #,##0.00\ [$€-1]_-;\-* #,##0.00\ [$€-1]_-;_-* &quot;-&quot;??\ [$€-1]_-;_-@_-"/>
  </numFmts>
  <fonts count="4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9.5"/>
      <color indexed="12"/>
      <name val="Arial"/>
      <family val="2"/>
    </font>
    <font>
      <u val="single"/>
      <sz val="10"/>
      <color indexed="36"/>
      <name val="Arial"/>
      <family val="2"/>
    </font>
    <font>
      <b/>
      <sz val="9.5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 locked="0"/>
    </xf>
    <xf numFmtId="172" fontId="3" fillId="35" borderId="13" xfId="45" applyNumberFormat="1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2" fontId="0" fillId="35" borderId="13" xfId="45" applyNumberFormat="1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vertical="center" wrapText="1"/>
      <protection/>
    </xf>
    <xf numFmtId="3" fontId="0" fillId="33" borderId="13" xfId="0" applyNumberFormat="1" applyFont="1" applyFill="1" applyBorder="1" applyAlignment="1" applyProtection="1">
      <alignment vertical="center" wrapText="1"/>
      <protection/>
    </xf>
    <xf numFmtId="3" fontId="0" fillId="33" borderId="0" xfId="0" applyNumberFormat="1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vertical="center" wrapText="1"/>
      <protection locked="0"/>
    </xf>
    <xf numFmtId="172" fontId="0" fillId="35" borderId="13" xfId="45" applyNumberFormat="1" applyFont="1" applyFill="1" applyBorder="1" applyAlignment="1" applyProtection="1">
      <alignment vertical="center" wrapText="1"/>
      <protection locked="0"/>
    </xf>
    <xf numFmtId="172" fontId="0" fillId="33" borderId="13" xfId="45" applyNumberFormat="1" applyFont="1" applyFill="1" applyBorder="1" applyAlignment="1" applyProtection="1">
      <alignment vertical="center" wrapText="1"/>
      <protection/>
    </xf>
    <xf numFmtId="9" fontId="0" fillId="33" borderId="13" xfId="55" applyFont="1" applyFill="1" applyBorder="1" applyAlignment="1" applyProtection="1">
      <alignment vertical="center" wrapText="1"/>
      <protection/>
    </xf>
    <xf numFmtId="3" fontId="0" fillId="33" borderId="0" xfId="0" applyNumberFormat="1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172" fontId="0" fillId="33" borderId="14" xfId="45" applyNumberFormat="1" applyFont="1" applyFill="1" applyBorder="1" applyAlignment="1" applyProtection="1">
      <alignment vertical="center" wrapText="1"/>
      <protection/>
    </xf>
    <xf numFmtId="9" fontId="0" fillId="33" borderId="16" xfId="55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/>
      <protection/>
    </xf>
    <xf numFmtId="3" fontId="0" fillId="33" borderId="18" xfId="0" applyNumberFormat="1" applyFont="1" applyFill="1" applyBorder="1" applyAlignment="1" applyProtection="1">
      <alignment/>
      <protection/>
    </xf>
    <xf numFmtId="3" fontId="0" fillId="33" borderId="19" xfId="0" applyNumberFormat="1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72" fontId="0" fillId="33" borderId="0" xfId="0" applyNumberFormat="1" applyFill="1" applyAlignment="1" applyProtection="1">
      <alignment/>
      <protection/>
    </xf>
    <xf numFmtId="172" fontId="0" fillId="33" borderId="13" xfId="45" applyNumberFormat="1" applyFont="1" applyFill="1" applyBorder="1" applyAlignment="1" applyProtection="1">
      <alignment/>
      <protection/>
    </xf>
    <xf numFmtId="173" fontId="0" fillId="33" borderId="0" xfId="45" applyFont="1" applyFill="1" applyAlignment="1" applyProtection="1">
      <alignment/>
      <protection/>
    </xf>
    <xf numFmtId="172" fontId="0" fillId="35" borderId="13" xfId="45" applyNumberFormat="1" applyFont="1" applyFill="1" applyBorder="1" applyAlignment="1" applyProtection="1">
      <alignment/>
      <protection locked="0"/>
    </xf>
    <xf numFmtId="173" fontId="3" fillId="33" borderId="0" xfId="45" applyFont="1" applyFill="1" applyAlignment="1" applyProtection="1">
      <alignment/>
      <protection/>
    </xf>
    <xf numFmtId="172" fontId="0" fillId="33" borderId="0" xfId="45" applyNumberFormat="1" applyFont="1" applyFill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3" fontId="6" fillId="36" borderId="13" xfId="46" applyNumberFormat="1" applyFont="1" applyFill="1" applyBorder="1" applyAlignment="1" applyProtection="1">
      <alignment horizontal="left" vertical="center"/>
      <protection/>
    </xf>
    <xf numFmtId="3" fontId="8" fillId="36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33" borderId="22" xfId="46" applyFont="1" applyFill="1" applyBorder="1" applyAlignment="1" applyProtection="1">
      <alignment vertical="center" wrapText="1"/>
      <protection/>
    </xf>
    <xf numFmtId="3" fontId="10" fillId="33" borderId="22" xfId="0" applyNumberFormat="1" applyFont="1" applyFill="1" applyBorder="1" applyAlignment="1">
      <alignment horizontal="right" vertical="center"/>
    </xf>
    <xf numFmtId="3" fontId="8" fillId="33" borderId="22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/>
    </xf>
    <xf numFmtId="0" fontId="8" fillId="35" borderId="13" xfId="0" applyFont="1" applyFill="1" applyBorder="1" applyAlignment="1">
      <alignment vertical="center" wrapText="1"/>
    </xf>
    <xf numFmtId="3" fontId="8" fillId="35" borderId="13" xfId="0" applyNumberFormat="1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 wrapText="1"/>
    </xf>
    <xf numFmtId="3" fontId="8" fillId="36" borderId="13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Alignment="1">
      <alignment/>
    </xf>
    <xf numFmtId="3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wrapText="1"/>
    </xf>
    <xf numFmtId="0" fontId="1" fillId="34" borderId="23" xfId="0" applyFont="1" applyFill="1" applyBorder="1" applyAlignment="1" applyProtection="1">
      <alignment horizontal="center"/>
      <protection/>
    </xf>
    <xf numFmtId="0" fontId="5" fillId="33" borderId="0" xfId="46" applyFill="1" applyAlignment="1" applyProtection="1">
      <alignment/>
      <protection/>
    </xf>
    <xf numFmtId="0" fontId="11" fillId="33" borderId="0" xfId="0" applyFont="1" applyFill="1" applyAlignment="1">
      <alignment/>
    </xf>
    <xf numFmtId="0" fontId="9" fillId="37" borderId="13" xfId="46" applyFont="1" applyFill="1" applyBorder="1" applyAlignment="1" applyProtection="1">
      <alignment vertical="center" wrapText="1"/>
      <protection/>
    </xf>
    <xf numFmtId="3" fontId="8" fillId="37" borderId="13" xfId="0" applyNumberFormat="1" applyFont="1" applyFill="1" applyBorder="1" applyAlignment="1">
      <alignment horizontal="right" vertical="center"/>
    </xf>
    <xf numFmtId="3" fontId="12" fillId="38" borderId="16" xfId="0" applyNumberFormat="1" applyFont="1" applyFill="1" applyBorder="1" applyAlignment="1">
      <alignment horizontal="right" vertical="center"/>
    </xf>
    <xf numFmtId="0" fontId="13" fillId="38" borderId="0" xfId="0" applyFont="1" applyFill="1" applyBorder="1" applyAlignment="1">
      <alignment/>
    </xf>
    <xf numFmtId="0" fontId="13" fillId="38" borderId="0" xfId="0" applyFont="1" applyFill="1" applyAlignment="1">
      <alignment/>
    </xf>
    <xf numFmtId="0" fontId="9" fillId="39" borderId="13" xfId="46" applyFont="1" applyFill="1" applyBorder="1" applyAlignment="1" applyProtection="1">
      <alignment vertical="center" wrapText="1"/>
      <protection/>
    </xf>
    <xf numFmtId="3" fontId="8" fillId="39" borderId="13" xfId="0" applyNumberFormat="1" applyFont="1" applyFill="1" applyBorder="1" applyAlignment="1">
      <alignment horizontal="right" vertical="center"/>
    </xf>
    <xf numFmtId="3" fontId="8" fillId="38" borderId="24" xfId="0" applyNumberFormat="1" applyFont="1" applyFill="1" applyBorder="1" applyAlignment="1">
      <alignment horizontal="right" vertical="center"/>
    </xf>
    <xf numFmtId="0" fontId="8" fillId="38" borderId="0" xfId="0" applyFont="1" applyFill="1" applyBorder="1" applyAlignment="1">
      <alignment/>
    </xf>
    <xf numFmtId="0" fontId="8" fillId="38" borderId="0" xfId="0" applyFont="1" applyFill="1" applyAlignment="1">
      <alignment/>
    </xf>
    <xf numFmtId="0" fontId="9" fillId="38" borderId="22" xfId="46" applyFont="1" applyFill="1" applyBorder="1" applyAlignment="1" applyProtection="1">
      <alignment vertical="center" wrapText="1"/>
      <protection/>
    </xf>
    <xf numFmtId="3" fontId="10" fillId="38" borderId="22" xfId="0" applyNumberFormat="1" applyFont="1" applyFill="1" applyBorder="1" applyAlignment="1">
      <alignment horizontal="right" vertical="center"/>
    </xf>
    <xf numFmtId="0" fontId="10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8" fillId="39" borderId="13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vertical="center" wrapText="1"/>
    </xf>
    <xf numFmtId="3" fontId="12" fillId="38" borderId="24" xfId="0" applyNumberFormat="1" applyFont="1" applyFill="1" applyBorder="1" applyAlignment="1">
      <alignment horizontal="right" vertical="center"/>
    </xf>
    <xf numFmtId="0" fontId="10" fillId="38" borderId="22" xfId="0" applyFont="1" applyFill="1" applyBorder="1" applyAlignment="1">
      <alignment vertical="center" wrapText="1"/>
    </xf>
    <xf numFmtId="3" fontId="8" fillId="38" borderId="22" xfId="0" applyNumberFormat="1" applyFont="1" applyFill="1" applyBorder="1" applyAlignment="1">
      <alignment horizontal="right" vertical="center"/>
    </xf>
    <xf numFmtId="3" fontId="8" fillId="38" borderId="24" xfId="0" applyNumberFormat="1" applyFont="1" applyFill="1" applyBorder="1" applyAlignment="1">
      <alignment horizontal="left" vertical="center"/>
    </xf>
    <xf numFmtId="0" fontId="9" fillId="36" borderId="13" xfId="46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>
      <alignment vertical="center" wrapText="1"/>
    </xf>
    <xf numFmtId="4" fontId="8" fillId="33" borderId="22" xfId="0" applyNumberFormat="1" applyFont="1" applyFill="1" applyBorder="1" applyAlignment="1">
      <alignment horizontal="right" vertical="center"/>
    </xf>
    <xf numFmtId="3" fontId="10" fillId="33" borderId="2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9" fillId="33" borderId="25" xfId="46" applyFont="1" applyFill="1" applyBorder="1" applyAlignment="1" applyProtection="1">
      <alignment vertical="center" wrapText="1"/>
      <protection/>
    </xf>
    <xf numFmtId="3" fontId="8" fillId="33" borderId="25" xfId="0" applyNumberFormat="1" applyFont="1" applyFill="1" applyBorder="1" applyAlignment="1">
      <alignment horizontal="right" vertical="center"/>
    </xf>
    <xf numFmtId="0" fontId="9" fillId="0" borderId="0" xfId="46" applyFont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172" fontId="0" fillId="33" borderId="0" xfId="45" applyNumberFormat="1" applyFont="1" applyFill="1" applyBorder="1" applyAlignment="1" applyProtection="1">
      <alignment/>
      <protection/>
    </xf>
    <xf numFmtId="0" fontId="10" fillId="0" borderId="2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3" fontId="8" fillId="37" borderId="13" xfId="0" applyNumberFormat="1" applyFont="1" applyFill="1" applyBorder="1" applyAlignment="1">
      <alignment horizontal="center" vertical="center"/>
    </xf>
    <xf numFmtId="172" fontId="0" fillId="0" borderId="27" xfId="45" applyNumberFormat="1" applyFont="1" applyFill="1" applyBorder="1" applyAlignment="1" applyProtection="1">
      <alignment/>
      <protection locked="0"/>
    </xf>
    <xf numFmtId="172" fontId="0" fillId="0" borderId="28" xfId="45" applyNumberFormat="1" applyFont="1" applyFill="1" applyBorder="1" applyAlignment="1" applyProtection="1">
      <alignment/>
      <protection locked="0"/>
    </xf>
    <xf numFmtId="172" fontId="0" fillId="0" borderId="28" xfId="45" applyNumberFormat="1" applyFont="1" applyFill="1" applyBorder="1" applyAlignment="1" applyProtection="1">
      <alignment wrapText="1"/>
      <protection locked="0"/>
    </xf>
    <xf numFmtId="172" fontId="0" fillId="0" borderId="29" xfId="45" applyNumberFormat="1" applyFont="1" applyFill="1" applyBorder="1" applyAlignment="1" applyProtection="1">
      <alignment/>
      <protection locked="0"/>
    </xf>
    <xf numFmtId="172" fontId="0" fillId="0" borderId="30" xfId="45" applyNumberFormat="1" applyFont="1" applyFill="1" applyBorder="1" applyAlignment="1" applyProtection="1">
      <alignment/>
      <protection locked="0"/>
    </xf>
    <xf numFmtId="172" fontId="0" fillId="0" borderId="26" xfId="45" applyNumberFormat="1" applyFont="1" applyFill="1" applyBorder="1" applyAlignment="1" applyProtection="1">
      <alignment/>
      <protection locked="0"/>
    </xf>
    <xf numFmtId="172" fontId="0" fillId="0" borderId="26" xfId="45" applyNumberFormat="1" applyFont="1" applyFill="1" applyBorder="1" applyAlignment="1" applyProtection="1">
      <alignment wrapText="1"/>
      <protection locked="0"/>
    </xf>
    <xf numFmtId="172" fontId="0" fillId="0" borderId="31" xfId="45" applyNumberFormat="1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8" fillId="35" borderId="13" xfId="0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3" fillId="0" borderId="0" xfId="46" applyNumberFormat="1" applyFont="1" applyFill="1" applyBorder="1" applyAlignment="1" applyProtection="1">
      <alignment horizontal="left" vertical="center"/>
      <protection/>
    </xf>
    <xf numFmtId="0" fontId="3" fillId="36" borderId="32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left" vertical="center" wrapText="1"/>
    </xf>
    <xf numFmtId="175" fontId="3" fillId="35" borderId="13" xfId="0" applyNumberFormat="1" applyFont="1" applyFill="1" applyBorder="1" applyAlignment="1">
      <alignment horizontal="center"/>
    </xf>
    <xf numFmtId="175" fontId="3" fillId="35" borderId="34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175" fontId="0" fillId="0" borderId="13" xfId="0" applyNumberFormat="1" applyFont="1" applyBorder="1" applyAlignment="1">
      <alignment horizontal="right"/>
    </xf>
    <xf numFmtId="0" fontId="3" fillId="35" borderId="35" xfId="0" applyFont="1" applyFill="1" applyBorder="1" applyAlignment="1">
      <alignment vertical="center" wrapText="1"/>
    </xf>
    <xf numFmtId="175" fontId="0" fillId="0" borderId="34" xfId="0" applyNumberFormat="1" applyFont="1" applyBorder="1" applyAlignment="1">
      <alignment horizontal="right"/>
    </xf>
    <xf numFmtId="0" fontId="0" fillId="33" borderId="35" xfId="0" applyFont="1" applyFill="1" applyBorder="1" applyAlignment="1">
      <alignment vertical="center" wrapText="1"/>
    </xf>
    <xf numFmtId="0" fontId="3" fillId="36" borderId="36" xfId="0" applyFont="1" applyFill="1" applyBorder="1" applyAlignment="1">
      <alignment vertical="center" wrapText="1"/>
    </xf>
    <xf numFmtId="175" fontId="3" fillId="36" borderId="37" xfId="0" applyNumberFormat="1" applyFont="1" applyFill="1" applyBorder="1" applyAlignment="1">
      <alignment horizontal="center"/>
    </xf>
    <xf numFmtId="3" fontId="8" fillId="0" borderId="0" xfId="46" applyNumberFormat="1" applyFont="1" applyFill="1" applyBorder="1" applyAlignment="1" applyProtection="1">
      <alignment horizontal="left" vertical="center"/>
      <protection/>
    </xf>
    <xf numFmtId="0" fontId="3" fillId="36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10" fillId="37" borderId="32" xfId="46" applyFont="1" applyFill="1" applyBorder="1" applyAlignment="1" applyProtection="1">
      <alignment vertical="center" wrapText="1"/>
      <protection/>
    </xf>
    <xf numFmtId="175" fontId="3" fillId="0" borderId="40" xfId="0" applyNumberFormat="1" applyFont="1" applyBorder="1" applyAlignment="1">
      <alignment horizontal="center"/>
    </xf>
    <xf numFmtId="175" fontId="3" fillId="0" borderId="41" xfId="0" applyNumberFormat="1" applyFont="1" applyBorder="1" applyAlignment="1">
      <alignment horizontal="center"/>
    </xf>
    <xf numFmtId="0" fontId="10" fillId="39" borderId="35" xfId="46" applyFont="1" applyFill="1" applyBorder="1" applyAlignment="1" applyProtection="1">
      <alignment vertical="center" wrapText="1"/>
      <protection/>
    </xf>
    <xf numFmtId="0" fontId="10" fillId="38" borderId="35" xfId="46" applyFont="1" applyFill="1" applyBorder="1" applyAlignment="1" applyProtection="1">
      <alignment vertical="center" wrapText="1"/>
      <protection/>
    </xf>
    <xf numFmtId="175" fontId="0" fillId="0" borderId="13" xfId="0" applyNumberFormat="1" applyBorder="1" applyAlignment="1">
      <alignment horizontal="right"/>
    </xf>
    <xf numFmtId="175" fontId="0" fillId="0" borderId="34" xfId="0" applyNumberFormat="1" applyBorder="1" applyAlignment="1">
      <alignment horizontal="right"/>
    </xf>
    <xf numFmtId="175" fontId="0" fillId="0" borderId="13" xfId="0" applyNumberFormat="1" applyBorder="1" applyAlignment="1">
      <alignment/>
    </xf>
    <xf numFmtId="0" fontId="8" fillId="39" borderId="35" xfId="0" applyFont="1" applyFill="1" applyBorder="1" applyAlignment="1">
      <alignment vertical="center" wrapText="1"/>
    </xf>
    <xf numFmtId="175" fontId="0" fillId="0" borderId="34" xfId="0" applyNumberFormat="1" applyBorder="1" applyAlignment="1">
      <alignment/>
    </xf>
    <xf numFmtId="0" fontId="8" fillId="37" borderId="35" xfId="0" applyFont="1" applyFill="1" applyBorder="1" applyAlignment="1">
      <alignment vertical="center" wrapText="1"/>
    </xf>
    <xf numFmtId="175" fontId="3" fillId="36" borderId="13" xfId="0" applyNumberFormat="1" applyFont="1" applyFill="1" applyBorder="1" applyAlignment="1">
      <alignment horizontal="center"/>
    </xf>
    <xf numFmtId="0" fontId="10" fillId="38" borderId="35" xfId="0" applyFont="1" applyFill="1" applyBorder="1" applyAlignment="1">
      <alignment vertical="center" wrapText="1"/>
    </xf>
    <xf numFmtId="175" fontId="0" fillId="0" borderId="13" xfId="0" applyNumberFormat="1" applyBorder="1" applyAlignment="1">
      <alignment/>
    </xf>
    <xf numFmtId="0" fontId="8" fillId="37" borderId="36" xfId="0" applyFont="1" applyFill="1" applyBorder="1" applyAlignment="1">
      <alignment vertical="center" wrapText="1"/>
    </xf>
    <xf numFmtId="175" fontId="0" fillId="0" borderId="0" xfId="0" applyNumberFormat="1" applyAlignment="1">
      <alignment/>
    </xf>
    <xf numFmtId="175" fontId="0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76" fontId="0" fillId="0" borderId="0" xfId="0" applyNumberFormat="1" applyAlignment="1">
      <alignment/>
    </xf>
    <xf numFmtId="175" fontId="0" fillId="0" borderId="34" xfId="0" applyNumberFormat="1" applyFont="1" applyBorder="1" applyAlignment="1">
      <alignment/>
    </xf>
    <xf numFmtId="177" fontId="0" fillId="35" borderId="13" xfId="45" applyNumberFormat="1" applyFont="1" applyFill="1" applyBorder="1" applyAlignment="1" applyProtection="1">
      <alignment horizontal="center"/>
      <protection locked="0"/>
    </xf>
    <xf numFmtId="177" fontId="0" fillId="35" borderId="13" xfId="45" applyNumberFormat="1" applyFont="1" applyFill="1" applyBorder="1" applyAlignment="1" applyProtection="1">
      <alignment/>
      <protection locked="0"/>
    </xf>
    <xf numFmtId="10" fontId="3" fillId="35" borderId="13" xfId="55" applyNumberFormat="1" applyFont="1" applyFill="1" applyBorder="1" applyAlignment="1" applyProtection="1">
      <alignment/>
      <protection locked="0"/>
    </xf>
    <xf numFmtId="172" fontId="0" fillId="35" borderId="14" xfId="45" applyNumberFormat="1" applyFont="1" applyFill="1" applyBorder="1" applyAlignment="1" applyProtection="1">
      <alignment/>
      <protection locked="0"/>
    </xf>
    <xf numFmtId="172" fontId="0" fillId="35" borderId="15" xfId="45" applyNumberFormat="1" applyFont="1" applyFill="1" applyBorder="1" applyAlignment="1" applyProtection="1">
      <alignment/>
      <protection locked="0"/>
    </xf>
    <xf numFmtId="172" fontId="0" fillId="35" borderId="15" xfId="45" applyNumberFormat="1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172" fontId="0" fillId="35" borderId="13" xfId="45" applyNumberFormat="1" applyFont="1" applyFill="1" applyBorder="1" applyAlignment="1" applyProtection="1">
      <alignment vertical="center" wrapText="1"/>
      <protection locked="0"/>
    </xf>
    <xf numFmtId="172" fontId="0" fillId="0" borderId="13" xfId="45" applyNumberFormat="1" applyFont="1" applyBorder="1" applyAlignment="1" applyProtection="1">
      <alignment wrapText="1"/>
      <protection locked="0"/>
    </xf>
    <xf numFmtId="172" fontId="0" fillId="35" borderId="14" xfId="45" applyNumberFormat="1" applyFont="1" applyFill="1" applyBorder="1" applyAlignment="1" applyProtection="1">
      <alignment wrapText="1"/>
      <protection locked="0"/>
    </xf>
    <xf numFmtId="172" fontId="0" fillId="35" borderId="15" xfId="45" applyNumberFormat="1" applyFont="1" applyFill="1" applyBorder="1" applyAlignment="1" applyProtection="1">
      <alignment wrapText="1"/>
      <protection locked="0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Microsoft/Windows/INetCache/Content.Outlook/Plan%20de%20empresa/PC02/Mis%20documentos/Plan%20de%20viabilidad.xls" TargetMode="External" /><Relationship Id="rId2" Type="http://schemas.openxmlformats.org/officeDocument/2006/relationships/hyperlink" Target="../../AppData/Local/Microsoft/Windows/INetCache/Content.Outlook/Plan%20de%20empresa/PC02/Mis%20documentos/Plan%20de%20viabilidad.xls" TargetMode="External" /><Relationship Id="rId3" Type="http://schemas.openxmlformats.org/officeDocument/2006/relationships/hyperlink" Target="../../AppData/Local/Microsoft/Windows/INetCache/Content.Outlook/Plan%20de%20empresa/PC02/Mis%20documentos/Plan%20de%20viabilidad.xls" TargetMode="Externa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2"/>
  <sheetViews>
    <sheetView view="pageBreakPreview" zoomScaleSheetLayoutView="100" zoomScalePageLayoutView="0" workbookViewId="0" topLeftCell="A229">
      <selection activeCell="E107" sqref="E107"/>
    </sheetView>
  </sheetViews>
  <sheetFormatPr defaultColWidth="11.421875" defaultRowHeight="12.75"/>
  <cols>
    <col min="1" max="1" width="11.421875" style="1" customWidth="1"/>
    <col min="2" max="2" width="16.421875" style="1" customWidth="1"/>
    <col min="3" max="3" width="12.8515625" style="1" bestFit="1" customWidth="1"/>
    <col min="4" max="4" width="13.57421875" style="1" customWidth="1"/>
    <col min="5" max="5" width="12.57421875" style="1" customWidth="1"/>
    <col min="6" max="6" width="13.421875" style="1" customWidth="1"/>
    <col min="7" max="7" width="12.421875" style="1" customWidth="1"/>
    <col min="8" max="8" width="12.28125" style="1" customWidth="1"/>
    <col min="9" max="9" width="11.8515625" style="1" customWidth="1"/>
    <col min="10" max="10" width="15.00390625" style="1" customWidth="1"/>
    <col min="11" max="16384" width="11.421875" style="1" customWidth="1"/>
  </cols>
  <sheetData>
    <row r="1" ht="13.5" thickBot="1"/>
    <row r="2" spans="1:10" ht="18.75" thickBot="1">
      <c r="A2" s="2"/>
      <c r="B2" s="3"/>
      <c r="C2" s="4"/>
      <c r="D2" s="4"/>
      <c r="E2" s="4" t="s">
        <v>403</v>
      </c>
      <c r="F2" s="3"/>
      <c r="G2" s="3"/>
      <c r="H2" s="3"/>
      <c r="I2" s="3"/>
      <c r="J2" s="5"/>
    </row>
    <row r="5" ht="12.75">
      <c r="A5" s="6" t="s">
        <v>0</v>
      </c>
    </row>
    <row r="6" ht="12.75">
      <c r="A6" s="6" t="s">
        <v>1</v>
      </c>
    </row>
    <row r="7" ht="12.75">
      <c r="A7" s="6" t="s">
        <v>2</v>
      </c>
    </row>
    <row r="8" ht="12.75">
      <c r="A8" s="6" t="s">
        <v>3</v>
      </c>
    </row>
    <row r="9" ht="12.75">
      <c r="A9" s="6" t="s">
        <v>4</v>
      </c>
    </row>
    <row r="10" ht="15.75">
      <c r="G10" s="7">
        <f>+IF(G11="","",IF(G11="SI","",IF(G11="NO","","!SÓLO PUEDES PONER SI O NO!")))</f>
      </c>
    </row>
    <row r="11" spans="1:7" ht="12.75">
      <c r="A11" s="6" t="s">
        <v>5</v>
      </c>
      <c r="G11" s="8" t="s">
        <v>402</v>
      </c>
    </row>
    <row r="13" ht="12.75">
      <c r="A13" s="6" t="s">
        <v>6</v>
      </c>
    </row>
    <row r="15" spans="2:7" ht="12.75">
      <c r="B15" s="1" t="s">
        <v>7</v>
      </c>
      <c r="G15" s="9"/>
    </row>
    <row r="16" ht="12.75">
      <c r="F16" s="10"/>
    </row>
    <row r="17" spans="2:6" ht="12.75">
      <c r="B17" s="1" t="s">
        <v>8</v>
      </c>
      <c r="F17" s="10"/>
    </row>
    <row r="18" spans="2:6" ht="12.75">
      <c r="B18" s="6" t="s">
        <v>9</v>
      </c>
      <c r="F18" s="10"/>
    </row>
    <row r="19" ht="12.75">
      <c r="F19" s="10"/>
    </row>
    <row r="20" spans="3:6" ht="12.75">
      <c r="C20" s="1" t="s">
        <v>10</v>
      </c>
      <c r="F20" s="9"/>
    </row>
    <row r="21" spans="3:6" ht="12.75">
      <c r="C21" s="1" t="s">
        <v>11</v>
      </c>
      <c r="F21" s="161">
        <v>0.0625</v>
      </c>
    </row>
    <row r="22" spans="3:6" ht="12.75">
      <c r="C22" s="1" t="s">
        <v>12</v>
      </c>
      <c r="F22" s="11">
        <v>5.5</v>
      </c>
    </row>
    <row r="23" ht="15.75">
      <c r="F23" s="12">
        <f>+IF(F20="","",IF(F20&lt;0,"!NO PUEDES SOLICITAR UN PRÉSTAMO NEGATIVO!",IF(F21="","!HAY QUE RELLENAR LOS TRES APARTADOS!",IF(F22="","!HAY QUE RELLENAR LOS TRES APARTADOS!",""))))</f>
      </c>
    </row>
    <row r="24" ht="12.75">
      <c r="B24" s="1" t="s">
        <v>13</v>
      </c>
    </row>
    <row r="39" s="6" customFormat="1" ht="12.75">
      <c r="A39" s="1"/>
    </row>
    <row r="40" s="6" customFormat="1" ht="12.75">
      <c r="A40" s="6" t="s">
        <v>14</v>
      </c>
    </row>
    <row r="41" s="6" customFormat="1" ht="12.75">
      <c r="A41" s="1" t="s">
        <v>15</v>
      </c>
    </row>
    <row r="42" s="6" customFormat="1" ht="12.75">
      <c r="A42" s="1" t="s">
        <v>16</v>
      </c>
    </row>
    <row r="43" spans="1:4" s="6" customFormat="1" ht="12.75">
      <c r="A43" s="1"/>
      <c r="B43" s="13" t="s">
        <v>17</v>
      </c>
      <c r="C43" s="14" t="s">
        <v>18</v>
      </c>
      <c r="D43" s="15"/>
    </row>
    <row r="44" spans="1:4" s="6" customFormat="1" ht="12.75">
      <c r="A44" s="1"/>
      <c r="B44" s="16" t="s">
        <v>384</v>
      </c>
      <c r="C44" s="162"/>
      <c r="D44" s="163"/>
    </row>
    <row r="45" spans="1:4" s="6" customFormat="1" ht="12.75">
      <c r="A45" s="1"/>
      <c r="B45" s="16" t="s">
        <v>385</v>
      </c>
      <c r="C45" s="162"/>
      <c r="D45" s="163"/>
    </row>
    <row r="46" spans="1:4" s="6" customFormat="1" ht="12.75">
      <c r="A46" s="1"/>
      <c r="B46" s="16" t="s">
        <v>386</v>
      </c>
      <c r="C46" s="162"/>
      <c r="D46" s="163"/>
    </row>
    <row r="47" spans="1:4" s="6" customFormat="1" ht="12.75">
      <c r="A47" s="1"/>
      <c r="B47" s="16" t="s">
        <v>387</v>
      </c>
      <c r="C47" s="162"/>
      <c r="D47" s="163"/>
    </row>
    <row r="48" spans="1:4" s="6" customFormat="1" ht="12.75">
      <c r="A48" s="1"/>
      <c r="B48" s="16" t="s">
        <v>388</v>
      </c>
      <c r="C48" s="162"/>
      <c r="D48" s="163"/>
    </row>
    <row r="49" spans="1:4" s="6" customFormat="1" ht="12.75">
      <c r="A49" s="1"/>
      <c r="B49" s="16" t="s">
        <v>389</v>
      </c>
      <c r="C49" s="162"/>
      <c r="D49" s="163"/>
    </row>
    <row r="50" spans="1:4" s="6" customFormat="1" ht="12.75">
      <c r="A50" s="1"/>
      <c r="B50" s="16" t="s">
        <v>390</v>
      </c>
      <c r="C50" s="162"/>
      <c r="D50" s="163"/>
    </row>
    <row r="51" spans="1:4" s="6" customFormat="1" ht="12.75">
      <c r="A51" s="1"/>
      <c r="B51" s="16" t="s">
        <v>391</v>
      </c>
      <c r="C51" s="162"/>
      <c r="D51" s="163"/>
    </row>
    <row r="52" spans="1:4" s="6" customFormat="1" ht="12.75">
      <c r="A52" s="1"/>
      <c r="B52" s="16" t="s">
        <v>392</v>
      </c>
      <c r="C52" s="162"/>
      <c r="D52" s="163"/>
    </row>
    <row r="53" spans="1:4" s="6" customFormat="1" ht="12.75">
      <c r="A53" s="1"/>
      <c r="B53" s="16" t="s">
        <v>393</v>
      </c>
      <c r="C53" s="162"/>
      <c r="D53" s="163"/>
    </row>
    <row r="54" spans="1:4" s="6" customFormat="1" ht="12.75">
      <c r="A54" s="1"/>
      <c r="B54" s="16" t="s">
        <v>394</v>
      </c>
      <c r="C54" s="162"/>
      <c r="D54" s="163"/>
    </row>
    <row r="55" spans="1:4" s="6" customFormat="1" ht="12.75">
      <c r="A55" s="1"/>
      <c r="B55" s="16" t="s">
        <v>395</v>
      </c>
      <c r="C55" s="162"/>
      <c r="D55" s="163"/>
    </row>
    <row r="56" spans="1:2" s="6" customFormat="1" ht="12.75">
      <c r="A56" s="1"/>
      <c r="B56" s="17"/>
    </row>
    <row r="57" s="6" customFormat="1" ht="12.75">
      <c r="A57" s="6" t="s">
        <v>19</v>
      </c>
    </row>
    <row r="58" s="6" customFormat="1" ht="12.75">
      <c r="A58" s="1" t="s">
        <v>20</v>
      </c>
    </row>
    <row r="59" s="6" customFormat="1" ht="12.75">
      <c r="A59" s="1" t="s">
        <v>21</v>
      </c>
    </row>
    <row r="60" s="6" customFormat="1" ht="12.75">
      <c r="A60" s="1" t="s">
        <v>22</v>
      </c>
    </row>
    <row r="61" s="6" customFormat="1" ht="12.75">
      <c r="A61" s="1"/>
    </row>
    <row r="62" spans="1:4" s="6" customFormat="1" ht="12.75">
      <c r="A62" s="1"/>
      <c r="B62" s="13" t="s">
        <v>17</v>
      </c>
      <c r="C62" s="165" t="s">
        <v>23</v>
      </c>
      <c r="D62" s="166"/>
    </row>
    <row r="63" spans="1:4" s="6" customFormat="1" ht="12.75">
      <c r="A63" s="1"/>
      <c r="B63" s="16" t="s">
        <v>384</v>
      </c>
      <c r="C63" s="162"/>
      <c r="D63" s="164"/>
    </row>
    <row r="64" spans="1:4" s="6" customFormat="1" ht="12.75">
      <c r="A64" s="1"/>
      <c r="B64" s="16" t="s">
        <v>385</v>
      </c>
      <c r="C64" s="162"/>
      <c r="D64" s="164"/>
    </row>
    <row r="65" spans="1:4" s="6" customFormat="1" ht="12.75">
      <c r="A65" s="1"/>
      <c r="B65" s="16" t="s">
        <v>386</v>
      </c>
      <c r="C65" s="162"/>
      <c r="D65" s="164"/>
    </row>
    <row r="66" spans="1:4" s="6" customFormat="1" ht="12.75">
      <c r="A66" s="1"/>
      <c r="B66" s="16" t="s">
        <v>387</v>
      </c>
      <c r="C66" s="162"/>
      <c r="D66" s="164"/>
    </row>
    <row r="67" spans="1:4" s="6" customFormat="1" ht="12.75">
      <c r="A67" s="1"/>
      <c r="B67" s="16" t="s">
        <v>388</v>
      </c>
      <c r="C67" s="162"/>
      <c r="D67" s="164"/>
    </row>
    <row r="68" spans="1:4" s="6" customFormat="1" ht="12.75">
      <c r="A68" s="1"/>
      <c r="B68" s="16" t="s">
        <v>389</v>
      </c>
      <c r="C68" s="162"/>
      <c r="D68" s="164"/>
    </row>
    <row r="69" spans="1:4" s="6" customFormat="1" ht="12.75">
      <c r="A69" s="1"/>
      <c r="B69" s="16" t="s">
        <v>390</v>
      </c>
      <c r="C69" s="162"/>
      <c r="D69" s="164"/>
    </row>
    <row r="70" spans="1:4" s="6" customFormat="1" ht="12.75">
      <c r="A70" s="1"/>
      <c r="B70" s="16" t="s">
        <v>391</v>
      </c>
      <c r="C70" s="162"/>
      <c r="D70" s="164"/>
    </row>
    <row r="71" spans="1:4" s="6" customFormat="1" ht="12.75">
      <c r="A71" s="1"/>
      <c r="B71" s="16" t="s">
        <v>392</v>
      </c>
      <c r="C71" s="162"/>
      <c r="D71" s="164"/>
    </row>
    <row r="72" spans="1:4" s="6" customFormat="1" ht="12.75">
      <c r="A72" s="1"/>
      <c r="B72" s="16" t="s">
        <v>393</v>
      </c>
      <c r="C72" s="162"/>
      <c r="D72" s="164"/>
    </row>
    <row r="73" spans="1:4" s="6" customFormat="1" ht="12.75">
      <c r="A73" s="1"/>
      <c r="B73" s="16" t="s">
        <v>394</v>
      </c>
      <c r="C73" s="162"/>
      <c r="D73" s="164"/>
    </row>
    <row r="74" spans="1:4" s="6" customFormat="1" ht="12.75">
      <c r="A74" s="1"/>
      <c r="B74" s="16" t="s">
        <v>395</v>
      </c>
      <c r="C74" s="162"/>
      <c r="D74" s="164"/>
    </row>
    <row r="75" spans="1:2" s="6" customFormat="1" ht="12.75">
      <c r="A75" s="1"/>
      <c r="B75" s="29"/>
    </row>
    <row r="76" spans="1:2" s="6" customFormat="1" ht="12.75">
      <c r="A76" s="1"/>
      <c r="B76" s="29"/>
    </row>
    <row r="77" spans="1:2" s="6" customFormat="1" ht="12.75">
      <c r="A77" s="1"/>
      <c r="B77" s="17"/>
    </row>
    <row r="78" spans="1:2" s="6" customFormat="1" ht="12.75">
      <c r="A78" s="6" t="s">
        <v>24</v>
      </c>
      <c r="B78" s="17"/>
    </row>
    <row r="79" spans="1:2" s="6" customFormat="1" ht="12.75">
      <c r="A79" s="1" t="s">
        <v>25</v>
      </c>
      <c r="B79" s="17"/>
    </row>
    <row r="80" spans="1:2" s="6" customFormat="1" ht="12.75">
      <c r="A80" s="1" t="s">
        <v>26</v>
      </c>
      <c r="B80" s="17"/>
    </row>
    <row r="81" spans="1:2" s="6" customFormat="1" ht="12.75">
      <c r="A81" s="1"/>
      <c r="B81" s="17"/>
    </row>
    <row r="82" spans="1:4" s="6" customFormat="1" ht="12.75">
      <c r="A82" s="1"/>
      <c r="B82" s="17"/>
      <c r="D82" s="18">
        <v>0</v>
      </c>
    </row>
    <row r="83" spans="1:2" s="6" customFormat="1" ht="12.75">
      <c r="A83" s="1"/>
      <c r="B83" s="17"/>
    </row>
    <row r="84" s="6" customFormat="1" ht="12.75">
      <c r="A84" s="6" t="s">
        <v>27</v>
      </c>
    </row>
    <row r="85" s="6" customFormat="1" ht="12.75">
      <c r="A85" s="17" t="s">
        <v>28</v>
      </c>
    </row>
    <row r="86" s="6" customFormat="1" ht="12.75">
      <c r="A86" s="1" t="s">
        <v>29</v>
      </c>
    </row>
    <row r="87" s="6" customFormat="1" ht="12.75">
      <c r="A87" s="1"/>
    </row>
    <row r="88" spans="1:2" s="6" customFormat="1" ht="12.75">
      <c r="A88" s="1"/>
      <c r="B88" s="13" t="s">
        <v>30</v>
      </c>
    </row>
    <row r="89" spans="2:8" s="17" customFormat="1" ht="51" customHeight="1">
      <c r="B89" s="19" t="s">
        <v>31</v>
      </c>
      <c r="C89" s="20" t="s">
        <v>32</v>
      </c>
      <c r="D89" s="20" t="s">
        <v>33</v>
      </c>
      <c r="E89" s="20" t="s">
        <v>34</v>
      </c>
      <c r="F89" s="20" t="s">
        <v>35</v>
      </c>
      <c r="G89" s="21"/>
      <c r="H89" s="21"/>
    </row>
    <row r="90" spans="2:8" s="17" customFormat="1" ht="12.75" customHeight="1">
      <c r="B90" s="22"/>
      <c r="C90" s="23"/>
      <c r="D90" s="24">
        <f>IF(C90="","",C90*34%)</f>
      </c>
      <c r="E90" s="24">
        <f>IF(C90="","",C90*6.4%)</f>
      </c>
      <c r="F90" s="25">
        <f aca="true" t="shared" si="0" ref="F90:F99">+IF(C90="",0,IF(C90&lt;=8000,2%,IF(C90&lt;=15000,12%,IF(C90&gt;15000,18%,0))))</f>
        <v>0</v>
      </c>
      <c r="G90" s="21"/>
      <c r="H90" s="26"/>
    </row>
    <row r="91" spans="2:8" s="17" customFormat="1" ht="11.25" customHeight="1">
      <c r="B91" s="22"/>
      <c r="C91" s="23"/>
      <c r="D91" s="24">
        <f aca="true" t="shared" si="1" ref="D91:D99">IF(C91="","",C91*34%)</f>
      </c>
      <c r="E91" s="24">
        <f aca="true" t="shared" si="2" ref="E91:E99">IF(C91="","",C91*6.4%)</f>
      </c>
      <c r="F91" s="25">
        <f t="shared" si="0"/>
        <v>0</v>
      </c>
      <c r="G91" s="21"/>
      <c r="H91" s="26"/>
    </row>
    <row r="92" spans="2:8" s="17" customFormat="1" ht="12" customHeight="1">
      <c r="B92" s="22"/>
      <c r="C92" s="23"/>
      <c r="D92" s="24">
        <f t="shared" si="1"/>
      </c>
      <c r="E92" s="24">
        <f t="shared" si="2"/>
      </c>
      <c r="F92" s="25">
        <f t="shared" si="0"/>
        <v>0</v>
      </c>
      <c r="G92" s="21"/>
      <c r="H92" s="26"/>
    </row>
    <row r="93" spans="2:8" s="17" customFormat="1" ht="12" customHeight="1">
      <c r="B93" s="22"/>
      <c r="C93" s="23"/>
      <c r="D93" s="24">
        <f t="shared" si="1"/>
      </c>
      <c r="E93" s="24">
        <f t="shared" si="2"/>
      </c>
      <c r="F93" s="25">
        <f t="shared" si="0"/>
        <v>0</v>
      </c>
      <c r="G93" s="21"/>
      <c r="H93" s="26"/>
    </row>
    <row r="94" spans="2:6" ht="12.75">
      <c r="B94" s="27"/>
      <c r="C94" s="23"/>
      <c r="D94" s="24">
        <f t="shared" si="1"/>
      </c>
      <c r="E94" s="24">
        <f t="shared" si="2"/>
      </c>
      <c r="F94" s="25">
        <f t="shared" si="0"/>
        <v>0</v>
      </c>
    </row>
    <row r="95" spans="2:8" s="17" customFormat="1" ht="12" customHeight="1">
      <c r="B95" s="28"/>
      <c r="C95" s="23"/>
      <c r="D95" s="24">
        <f t="shared" si="1"/>
      </c>
      <c r="E95" s="24">
        <f t="shared" si="2"/>
      </c>
      <c r="F95" s="25">
        <f t="shared" si="0"/>
        <v>0</v>
      </c>
      <c r="G95" s="29"/>
      <c r="H95" s="29"/>
    </row>
    <row r="96" spans="2:6" s="17" customFormat="1" ht="12" customHeight="1">
      <c r="B96" s="28"/>
      <c r="C96" s="23"/>
      <c r="D96" s="24">
        <f t="shared" si="1"/>
      </c>
      <c r="E96" s="24">
        <f t="shared" si="2"/>
      </c>
      <c r="F96" s="25">
        <f t="shared" si="0"/>
        <v>0</v>
      </c>
    </row>
    <row r="97" spans="2:6" s="17" customFormat="1" ht="12" customHeight="1">
      <c r="B97" s="28"/>
      <c r="C97" s="23"/>
      <c r="D97" s="24">
        <f t="shared" si="1"/>
      </c>
      <c r="E97" s="24">
        <f t="shared" si="2"/>
      </c>
      <c r="F97" s="25">
        <f t="shared" si="0"/>
        <v>0</v>
      </c>
    </row>
    <row r="98" spans="2:6" s="17" customFormat="1" ht="12.75">
      <c r="B98" s="28"/>
      <c r="C98" s="23"/>
      <c r="D98" s="24">
        <f t="shared" si="1"/>
      </c>
      <c r="E98" s="24">
        <f t="shared" si="2"/>
      </c>
      <c r="F98" s="25">
        <f t="shared" si="0"/>
        <v>0</v>
      </c>
    </row>
    <row r="99" spans="2:6" ht="12.75">
      <c r="B99" s="27"/>
      <c r="C99" s="23"/>
      <c r="D99" s="24">
        <f t="shared" si="1"/>
      </c>
      <c r="E99" s="24">
        <f t="shared" si="2"/>
      </c>
      <c r="F99" s="25">
        <f t="shared" si="0"/>
        <v>0</v>
      </c>
    </row>
    <row r="100" spans="2:8" s="17" customFormat="1" ht="12" customHeight="1">
      <c r="B100" s="19" t="s">
        <v>36</v>
      </c>
      <c r="C100" s="24">
        <f>SUM(C90:C99)</f>
        <v>0</v>
      </c>
      <c r="D100" s="24">
        <f>SUM(D90:D99)</f>
        <v>0</v>
      </c>
      <c r="E100" s="30">
        <f>SUM(E90:E99)</f>
        <v>0</v>
      </c>
      <c r="F100" s="31">
        <f>+IF(C100=0,0,(F90*C90+F91*C91+F92*C92+F93*C93+F94*C94+F95*C95+F96*C96+F97*C97+F98*C98+F99*C99)/C100)</f>
        <v>0</v>
      </c>
      <c r="G100" s="32"/>
      <c r="H100" s="33"/>
    </row>
    <row r="101" spans="6:8" ht="12.75">
      <c r="F101" s="34" t="s">
        <v>37</v>
      </c>
      <c r="G101" s="35"/>
      <c r="H101" s="36"/>
    </row>
    <row r="102" ht="12.75">
      <c r="B102" s="13" t="s">
        <v>38</v>
      </c>
    </row>
    <row r="103" spans="2:4" ht="25.5">
      <c r="B103" s="167" t="s">
        <v>39</v>
      </c>
      <c r="C103" s="168"/>
      <c r="D103" s="20" t="s">
        <v>40</v>
      </c>
    </row>
    <row r="104" spans="2:6" ht="12.75">
      <c r="B104" s="169"/>
      <c r="C104" s="170"/>
      <c r="D104" s="24">
        <f>+IF(B104&lt;&gt;0,50*12,"")</f>
      </c>
      <c r="F104" s="37"/>
    </row>
    <row r="105" spans="2:4" ht="12.75">
      <c r="B105" s="169"/>
      <c r="C105" s="170"/>
      <c r="D105" s="24">
        <f>+IF(B105&lt;&gt;0,50*12,"")</f>
      </c>
    </row>
    <row r="106" spans="2:5" ht="12.75">
      <c r="B106" s="169"/>
      <c r="C106" s="170"/>
      <c r="D106" s="24">
        <f>+IF(B106&lt;&gt;0,50*12,"")</f>
      </c>
      <c r="E106" s="37"/>
    </row>
    <row r="107" spans="2:4" ht="12.75">
      <c r="B107" s="169"/>
      <c r="C107" s="170"/>
      <c r="D107" s="24">
        <f>+IF(B107&lt;&gt;0,50*12,"")</f>
      </c>
    </row>
    <row r="108" spans="2:4" ht="12.75">
      <c r="B108" s="38" t="s">
        <v>36</v>
      </c>
      <c r="C108" s="38">
        <f>+SUM(B104:C107)</f>
        <v>0</v>
      </c>
      <c r="D108" s="38">
        <f>+SUM(D104:D107)</f>
        <v>0</v>
      </c>
    </row>
    <row r="109" spans="2:4" ht="12.75">
      <c r="B109" s="101"/>
      <c r="C109" s="101"/>
      <c r="D109" s="101"/>
    </row>
    <row r="110" spans="2:4" ht="12.75">
      <c r="B110" s="101"/>
      <c r="C110" s="101"/>
      <c r="D110" s="101"/>
    </row>
    <row r="111" spans="2:4" ht="12.75">
      <c r="B111" s="101"/>
      <c r="C111" s="101"/>
      <c r="D111" s="101"/>
    </row>
    <row r="112" spans="2:4" ht="12.75">
      <c r="B112" s="101"/>
      <c r="C112" s="101"/>
      <c r="D112" s="101"/>
    </row>
    <row r="113" spans="2:4" ht="12.75">
      <c r="B113" s="101"/>
      <c r="C113" s="101"/>
      <c r="D113" s="101"/>
    </row>
    <row r="114" spans="2:4" ht="12.75">
      <c r="B114" s="101"/>
      <c r="C114" s="101"/>
      <c r="D114" s="101"/>
    </row>
    <row r="116" ht="12.75">
      <c r="A116" s="6" t="s">
        <v>41</v>
      </c>
    </row>
    <row r="117" spans="1:2" ht="12.75">
      <c r="A117" s="1" t="s">
        <v>42</v>
      </c>
      <c r="B117" s="21"/>
    </row>
    <row r="118" ht="12.75">
      <c r="A118" s="1" t="s">
        <v>43</v>
      </c>
    </row>
    <row r="119" ht="12.75">
      <c r="A119" s="1" t="s">
        <v>44</v>
      </c>
    </row>
    <row r="120" ht="12.75">
      <c r="A120" s="6" t="s">
        <v>45</v>
      </c>
    </row>
    <row r="121" ht="12.75">
      <c r="A121" s="1" t="s">
        <v>46</v>
      </c>
    </row>
    <row r="123" ht="12.75">
      <c r="A123" s="6" t="s">
        <v>47</v>
      </c>
    </row>
    <row r="125" spans="2:7" ht="12.75">
      <c r="B125" s="1" t="s">
        <v>48</v>
      </c>
      <c r="F125" s="159">
        <v>0</v>
      </c>
      <c r="G125" s="39" t="s">
        <v>49</v>
      </c>
    </row>
    <row r="126" ht="12.75">
      <c r="B126" s="1" t="s">
        <v>50</v>
      </c>
    </row>
    <row r="127" ht="12.75">
      <c r="B127" s="1" t="s">
        <v>51</v>
      </c>
    </row>
    <row r="128" ht="12.75">
      <c r="B128" s="1" t="s">
        <v>52</v>
      </c>
    </row>
    <row r="129" ht="12.75">
      <c r="B129" s="1" t="s">
        <v>53</v>
      </c>
    </row>
    <row r="130" ht="12.75">
      <c r="B130" s="1" t="s">
        <v>54</v>
      </c>
    </row>
    <row r="131" ht="12.75">
      <c r="B131" s="1" t="s">
        <v>55</v>
      </c>
    </row>
    <row r="133" spans="2:9" s="6" customFormat="1" ht="12.75">
      <c r="B133" s="13" t="s">
        <v>17</v>
      </c>
      <c r="C133" s="13" t="s">
        <v>56</v>
      </c>
      <c r="D133" s="13" t="s">
        <v>57</v>
      </c>
      <c r="E133" s="13" t="s">
        <v>58</v>
      </c>
      <c r="F133" s="165" t="s">
        <v>59</v>
      </c>
      <c r="G133" s="166"/>
      <c r="H133" s="13" t="s">
        <v>60</v>
      </c>
      <c r="I133" s="13" t="s">
        <v>61</v>
      </c>
    </row>
    <row r="134" spans="2:9" ht="12.75">
      <c r="B134" s="16" t="s">
        <v>384</v>
      </c>
      <c r="C134" s="40"/>
      <c r="D134" s="40"/>
      <c r="E134" s="40"/>
      <c r="F134" s="171"/>
      <c r="G134" s="172"/>
      <c r="H134" s="40"/>
      <c r="I134" s="40"/>
    </row>
    <row r="135" spans="2:9" ht="12.75">
      <c r="B135" s="16" t="s">
        <v>385</v>
      </c>
      <c r="C135" s="40"/>
      <c r="D135" s="40"/>
      <c r="E135" s="40"/>
      <c r="F135" s="171"/>
      <c r="G135" s="172"/>
      <c r="H135" s="40"/>
      <c r="I135" s="40"/>
    </row>
    <row r="136" spans="2:9" ht="12.75">
      <c r="B136" s="16" t="s">
        <v>386</v>
      </c>
      <c r="C136" s="40"/>
      <c r="D136" s="40"/>
      <c r="E136" s="40"/>
      <c r="F136" s="171"/>
      <c r="G136" s="172"/>
      <c r="H136" s="40"/>
      <c r="I136" s="40"/>
    </row>
    <row r="137" spans="2:9" ht="12.75">
      <c r="B137" s="16" t="s">
        <v>387</v>
      </c>
      <c r="C137" s="40"/>
      <c r="D137" s="40"/>
      <c r="E137" s="40"/>
      <c r="F137" s="171"/>
      <c r="G137" s="172"/>
      <c r="H137" s="40"/>
      <c r="I137" s="40"/>
    </row>
    <row r="138" spans="2:9" ht="12.75">
      <c r="B138" s="16" t="s">
        <v>388</v>
      </c>
      <c r="C138" s="40"/>
      <c r="D138" s="40"/>
      <c r="E138" s="40"/>
      <c r="F138" s="171"/>
      <c r="G138" s="172"/>
      <c r="H138" s="40"/>
      <c r="I138" s="40"/>
    </row>
    <row r="139" spans="2:9" ht="12.75">
      <c r="B139" s="16" t="s">
        <v>389</v>
      </c>
      <c r="C139" s="40"/>
      <c r="D139" s="40"/>
      <c r="E139" s="40"/>
      <c r="F139" s="171"/>
      <c r="G139" s="172"/>
      <c r="H139" s="40"/>
      <c r="I139" s="40"/>
    </row>
    <row r="140" spans="2:9" ht="12.75">
      <c r="B140" s="16" t="s">
        <v>390</v>
      </c>
      <c r="C140" s="40"/>
      <c r="D140" s="40"/>
      <c r="E140" s="40"/>
      <c r="F140" s="171"/>
      <c r="G140" s="172"/>
      <c r="H140" s="40"/>
      <c r="I140" s="40"/>
    </row>
    <row r="141" spans="2:9" ht="12.75">
      <c r="B141" s="16" t="s">
        <v>391</v>
      </c>
      <c r="C141" s="40"/>
      <c r="D141" s="40"/>
      <c r="E141" s="40"/>
      <c r="F141" s="171"/>
      <c r="G141" s="172"/>
      <c r="H141" s="40"/>
      <c r="I141" s="40"/>
    </row>
    <row r="142" spans="2:9" ht="12.75">
      <c r="B142" s="16" t="s">
        <v>392</v>
      </c>
      <c r="C142" s="40"/>
      <c r="D142" s="40"/>
      <c r="E142" s="40"/>
      <c r="F142" s="171"/>
      <c r="G142" s="172"/>
      <c r="H142" s="40"/>
      <c r="I142" s="40"/>
    </row>
    <row r="143" spans="2:9" ht="12.75">
      <c r="B143" s="16" t="s">
        <v>393</v>
      </c>
      <c r="C143" s="40"/>
      <c r="D143" s="40"/>
      <c r="E143" s="40"/>
      <c r="F143" s="171"/>
      <c r="G143" s="172"/>
      <c r="H143" s="40"/>
      <c r="I143" s="40"/>
    </row>
    <row r="144" spans="2:9" ht="12.75">
      <c r="B144" s="16" t="s">
        <v>394</v>
      </c>
      <c r="C144" s="40"/>
      <c r="D144" s="40"/>
      <c r="E144" s="40"/>
      <c r="F144" s="171"/>
      <c r="G144" s="172"/>
      <c r="H144" s="40"/>
      <c r="I144" s="40"/>
    </row>
    <row r="145" spans="2:9" ht="12.75">
      <c r="B145" s="16" t="s">
        <v>395</v>
      </c>
      <c r="C145" s="40"/>
      <c r="D145" s="40"/>
      <c r="E145" s="40"/>
      <c r="F145" s="171"/>
      <c r="G145" s="172"/>
      <c r="H145" s="40"/>
      <c r="I145" s="40"/>
    </row>
    <row r="146" spans="2:9" ht="12.75">
      <c r="B146" s="29"/>
      <c r="C146" s="105"/>
      <c r="D146" s="106"/>
      <c r="E146" s="106"/>
      <c r="F146" s="107"/>
      <c r="G146" s="107"/>
      <c r="H146" s="106"/>
      <c r="I146" s="108"/>
    </row>
    <row r="147" spans="2:9" ht="12.75">
      <c r="B147" s="29"/>
      <c r="C147" s="109"/>
      <c r="D147" s="110"/>
      <c r="E147" s="110"/>
      <c r="F147" s="111"/>
      <c r="G147" s="111"/>
      <c r="H147" s="110"/>
      <c r="I147" s="112"/>
    </row>
    <row r="148" spans="2:9" ht="12.75">
      <c r="B148" s="29"/>
      <c r="C148" s="109"/>
      <c r="D148" s="110"/>
      <c r="E148" s="110"/>
      <c r="F148" s="111"/>
      <c r="G148" s="111"/>
      <c r="H148" s="110"/>
      <c r="I148" s="112"/>
    </row>
    <row r="149" spans="2:9" ht="12.75">
      <c r="B149" s="29"/>
      <c r="C149" s="109"/>
      <c r="D149" s="110"/>
      <c r="E149" s="110"/>
      <c r="F149" s="111"/>
      <c r="G149" s="111"/>
      <c r="H149" s="110"/>
      <c r="I149" s="112"/>
    </row>
    <row r="150" spans="2:9" ht="12.75">
      <c r="B150" s="29"/>
      <c r="C150" s="109"/>
      <c r="D150" s="110"/>
      <c r="E150" s="110"/>
      <c r="F150" s="111"/>
      <c r="G150" s="111"/>
      <c r="H150" s="110"/>
      <c r="I150" s="112"/>
    </row>
    <row r="151" spans="2:9" ht="12.75">
      <c r="B151" s="29"/>
      <c r="C151" s="113"/>
      <c r="D151" s="114"/>
      <c r="E151" s="114"/>
      <c r="F151" s="114"/>
      <c r="G151" s="114"/>
      <c r="H151" s="114"/>
      <c r="I151" s="115"/>
    </row>
    <row r="152" spans="1:2" ht="12.75">
      <c r="A152" s="41" t="s">
        <v>62</v>
      </c>
      <c r="B152" s="29"/>
    </row>
    <row r="153" ht="12.75">
      <c r="B153" s="29"/>
    </row>
    <row r="154" ht="12.75">
      <c r="B154" s="29" t="s">
        <v>63</v>
      </c>
    </row>
    <row r="155" ht="12.75">
      <c r="B155" s="29" t="s">
        <v>64</v>
      </c>
    </row>
    <row r="156" ht="12.75">
      <c r="B156" s="1" t="s">
        <v>65</v>
      </c>
    </row>
    <row r="157" ht="12.75">
      <c r="B157" s="29" t="s">
        <v>66</v>
      </c>
    </row>
    <row r="158" ht="12.75">
      <c r="B158" s="29" t="s">
        <v>67</v>
      </c>
    </row>
    <row r="159" ht="12.75">
      <c r="B159" s="29" t="s">
        <v>68</v>
      </c>
    </row>
    <row r="160" ht="12.75">
      <c r="B160" s="29"/>
    </row>
    <row r="161" spans="1:2" ht="12.75">
      <c r="A161" s="6" t="s">
        <v>69</v>
      </c>
      <c r="B161" s="29"/>
    </row>
    <row r="162" ht="12.75">
      <c r="B162" s="29"/>
    </row>
    <row r="163" ht="12.75">
      <c r="B163" s="29" t="s">
        <v>70</v>
      </c>
    </row>
    <row r="164" ht="12.75">
      <c r="B164" s="29" t="s">
        <v>71</v>
      </c>
    </row>
    <row r="165" ht="12.75">
      <c r="B165" s="29" t="s">
        <v>72</v>
      </c>
    </row>
    <row r="166" ht="12.75">
      <c r="B166" s="29" t="s">
        <v>73</v>
      </c>
    </row>
    <row r="167" ht="12.75">
      <c r="B167" s="29"/>
    </row>
    <row r="168" spans="2:4" ht="12.75">
      <c r="B168" s="13" t="s">
        <v>17</v>
      </c>
      <c r="C168" s="13" t="s">
        <v>74</v>
      </c>
      <c r="D168" s="13" t="s">
        <v>75</v>
      </c>
    </row>
    <row r="169" spans="2:4" ht="12.75">
      <c r="B169" s="16" t="s">
        <v>384</v>
      </c>
      <c r="C169" s="40"/>
      <c r="D169" s="40"/>
    </row>
    <row r="170" spans="2:4" ht="12.75">
      <c r="B170" s="16" t="s">
        <v>385</v>
      </c>
      <c r="C170" s="40"/>
      <c r="D170" s="40"/>
    </row>
    <row r="171" spans="2:4" ht="12.75">
      <c r="B171" s="16" t="s">
        <v>386</v>
      </c>
      <c r="C171" s="40"/>
      <c r="D171" s="40"/>
    </row>
    <row r="172" spans="2:4" ht="12.75">
      <c r="B172" s="16" t="s">
        <v>387</v>
      </c>
      <c r="C172" s="40"/>
      <c r="D172" s="40"/>
    </row>
    <row r="173" spans="2:4" ht="12.75">
      <c r="B173" s="16" t="s">
        <v>388</v>
      </c>
      <c r="C173" s="40"/>
      <c r="D173" s="40"/>
    </row>
    <row r="174" spans="2:4" ht="12.75">
      <c r="B174" s="16" t="s">
        <v>389</v>
      </c>
      <c r="C174" s="40"/>
      <c r="D174" s="40"/>
    </row>
    <row r="175" spans="2:4" ht="12.75">
      <c r="B175" s="16" t="s">
        <v>390</v>
      </c>
      <c r="C175" s="40"/>
      <c r="D175" s="40"/>
    </row>
    <row r="176" spans="2:4" ht="12.75">
      <c r="B176" s="16" t="s">
        <v>391</v>
      </c>
      <c r="C176" s="40"/>
      <c r="D176" s="40"/>
    </row>
    <row r="177" spans="2:4" ht="12.75">
      <c r="B177" s="16" t="s">
        <v>392</v>
      </c>
      <c r="C177" s="40"/>
      <c r="D177" s="40"/>
    </row>
    <row r="178" spans="2:4" ht="12.75">
      <c r="B178" s="16" t="s">
        <v>393</v>
      </c>
      <c r="C178" s="40"/>
      <c r="D178" s="40"/>
    </row>
    <row r="179" spans="2:4" ht="12.75">
      <c r="B179" s="16" t="s">
        <v>394</v>
      </c>
      <c r="C179" s="40"/>
      <c r="D179" s="40"/>
    </row>
    <row r="180" spans="2:4" ht="12.75">
      <c r="B180" s="16" t="s">
        <v>395</v>
      </c>
      <c r="C180" s="40"/>
      <c r="D180" s="40"/>
    </row>
    <row r="181" spans="2:4" ht="12.75">
      <c r="B181" s="29"/>
      <c r="C181" s="105"/>
      <c r="D181" s="108"/>
    </row>
    <row r="182" spans="2:4" ht="12.75">
      <c r="B182" s="29"/>
      <c r="C182" s="109"/>
      <c r="D182" s="112"/>
    </row>
    <row r="183" spans="2:4" ht="12.75">
      <c r="B183" s="29"/>
      <c r="C183" s="109"/>
      <c r="D183" s="112"/>
    </row>
    <row r="184" spans="2:4" ht="12.75">
      <c r="B184" s="29"/>
      <c r="C184" s="109"/>
      <c r="D184" s="112"/>
    </row>
    <row r="185" spans="2:4" ht="12.75">
      <c r="B185" s="29"/>
      <c r="C185" s="109"/>
      <c r="D185" s="112"/>
    </row>
    <row r="186" spans="2:4" ht="12.75">
      <c r="B186" s="29"/>
      <c r="C186" s="109"/>
      <c r="D186" s="112"/>
    </row>
    <row r="187" spans="2:4" ht="12.75">
      <c r="B187" s="29"/>
      <c r="C187" s="109"/>
      <c r="D187" s="112"/>
    </row>
    <row r="188" spans="2:4" ht="12.75">
      <c r="B188" s="29"/>
      <c r="C188" s="109"/>
      <c r="D188" s="112"/>
    </row>
    <row r="189" spans="2:4" ht="12.75">
      <c r="B189" s="29"/>
      <c r="C189" s="109"/>
      <c r="D189" s="112"/>
    </row>
    <row r="190" spans="2:4" ht="12.75">
      <c r="B190" s="29"/>
      <c r="C190" s="116"/>
      <c r="D190" s="117"/>
    </row>
    <row r="191" ht="12.75">
      <c r="A191" s="6" t="s">
        <v>76</v>
      </c>
    </row>
    <row r="193" spans="2:9" ht="12.75">
      <c r="B193" s="1" t="s">
        <v>77</v>
      </c>
      <c r="I193" s="160"/>
    </row>
    <row r="194" spans="2:9" ht="12.75">
      <c r="B194" s="1" t="s">
        <v>78</v>
      </c>
      <c r="I194" s="42"/>
    </row>
    <row r="195" spans="2:9" ht="12.75">
      <c r="B195" s="1" t="s">
        <v>79</v>
      </c>
      <c r="I195" s="40"/>
    </row>
    <row r="196" spans="2:9" ht="12.75">
      <c r="B196" s="1" t="s">
        <v>80</v>
      </c>
      <c r="I196" s="42"/>
    </row>
    <row r="197" spans="2:9" ht="12.75">
      <c r="B197" s="1" t="s">
        <v>81</v>
      </c>
      <c r="I197" s="160"/>
    </row>
    <row r="198" spans="2:9" ht="12.75">
      <c r="B198" s="1" t="s">
        <v>82</v>
      </c>
      <c r="I198" s="42"/>
    </row>
    <row r="199" spans="2:9" ht="12.75">
      <c r="B199" s="1" t="s">
        <v>83</v>
      </c>
      <c r="I199" s="160"/>
    </row>
    <row r="201" ht="12.75">
      <c r="B201" s="6" t="s">
        <v>84</v>
      </c>
    </row>
    <row r="202" ht="12.75">
      <c r="B202" s="1" t="s">
        <v>85</v>
      </c>
    </row>
    <row r="203" ht="12.75">
      <c r="B203" s="1" t="s">
        <v>86</v>
      </c>
    </row>
    <row r="204" ht="12.75">
      <c r="B204" s="1" t="s">
        <v>87</v>
      </c>
    </row>
    <row r="205" ht="12.75">
      <c r="B205" s="1" t="s">
        <v>88</v>
      </c>
    </row>
    <row r="206" ht="12.75">
      <c r="B206" s="1" t="s">
        <v>89</v>
      </c>
    </row>
    <row r="207" ht="12.75">
      <c r="B207" s="1" t="s">
        <v>90</v>
      </c>
    </row>
    <row r="208" spans="2:9" ht="12.75">
      <c r="B208" s="1" t="s">
        <v>91</v>
      </c>
      <c r="H208" s="43">
        <v>5</v>
      </c>
      <c r="I208" s="1" t="s">
        <v>92</v>
      </c>
    </row>
    <row r="209" spans="2:9" ht="12.75">
      <c r="B209" s="1" t="s">
        <v>93</v>
      </c>
      <c r="H209" s="43">
        <v>8</v>
      </c>
      <c r="I209" s="1" t="s">
        <v>92</v>
      </c>
    </row>
    <row r="210" spans="2:9" ht="12.75">
      <c r="B210" s="1" t="s">
        <v>94</v>
      </c>
      <c r="H210" s="43">
        <v>13</v>
      </c>
      <c r="I210" s="1" t="s">
        <v>92</v>
      </c>
    </row>
    <row r="211" ht="12.75">
      <c r="H211" s="100"/>
    </row>
    <row r="212" ht="12.75">
      <c r="H212" s="100"/>
    </row>
    <row r="213" ht="12.75">
      <c r="H213" s="100"/>
    </row>
    <row r="214" ht="12.75">
      <c r="H214" s="100"/>
    </row>
    <row r="215" ht="12.75">
      <c r="H215" s="100"/>
    </row>
    <row r="216" ht="12.75">
      <c r="H216" s="100"/>
    </row>
    <row r="217" ht="12.75">
      <c r="H217" s="100"/>
    </row>
    <row r="218" ht="12.75">
      <c r="H218" s="100"/>
    </row>
    <row r="219" ht="12.75">
      <c r="H219" s="100"/>
    </row>
    <row r="220" ht="12.75">
      <c r="H220" s="100"/>
    </row>
    <row r="221" ht="12.75">
      <c r="H221" s="100"/>
    </row>
    <row r="222" ht="12.75">
      <c r="H222" s="100"/>
    </row>
    <row r="223" ht="12.75">
      <c r="H223" s="100"/>
    </row>
    <row r="225" ht="12.75">
      <c r="A225" s="6" t="s">
        <v>95</v>
      </c>
    </row>
    <row r="226" ht="12.75">
      <c r="A226" s="1" t="s">
        <v>96</v>
      </c>
    </row>
    <row r="227" ht="12.75">
      <c r="A227" s="1" t="s">
        <v>97</v>
      </c>
    </row>
    <row r="228" ht="12.75">
      <c r="A228" s="1" t="s">
        <v>98</v>
      </c>
    </row>
    <row r="230" spans="2:3" ht="12.75">
      <c r="B230" s="13" t="s">
        <v>17</v>
      </c>
      <c r="C230" s="13" t="s">
        <v>74</v>
      </c>
    </row>
    <row r="231" spans="2:3" ht="12.75">
      <c r="B231" s="16" t="s">
        <v>384</v>
      </c>
      <c r="C231" s="40"/>
    </row>
    <row r="232" spans="2:3" ht="12.75">
      <c r="B232" s="16" t="s">
        <v>385</v>
      </c>
      <c r="C232" s="40"/>
    </row>
    <row r="233" spans="2:3" ht="12.75">
      <c r="B233" s="16" t="s">
        <v>386</v>
      </c>
      <c r="C233" s="40"/>
    </row>
    <row r="234" spans="2:3" ht="12.75">
      <c r="B234" s="16" t="s">
        <v>387</v>
      </c>
      <c r="C234" s="40"/>
    </row>
    <row r="235" spans="2:3" ht="12.75">
      <c r="B235" s="16" t="s">
        <v>388</v>
      </c>
      <c r="C235" s="40"/>
    </row>
    <row r="236" spans="2:3" ht="12.75">
      <c r="B236" s="16" t="s">
        <v>389</v>
      </c>
      <c r="C236" s="40"/>
    </row>
    <row r="237" spans="2:3" ht="12.75">
      <c r="B237" s="16" t="s">
        <v>390</v>
      </c>
      <c r="C237" s="40"/>
    </row>
    <row r="238" spans="2:3" ht="12.75">
      <c r="B238" s="16" t="s">
        <v>391</v>
      </c>
      <c r="C238" s="40"/>
    </row>
    <row r="239" spans="2:3" ht="12.75">
      <c r="B239" s="16" t="s">
        <v>392</v>
      </c>
      <c r="C239" s="40"/>
    </row>
    <row r="240" spans="2:3" ht="12.75">
      <c r="B240" s="16" t="s">
        <v>393</v>
      </c>
      <c r="C240" s="40"/>
    </row>
    <row r="241" spans="2:3" ht="12.75">
      <c r="B241" s="16" t="s">
        <v>394</v>
      </c>
      <c r="C241" s="40"/>
    </row>
    <row r="242" spans="2:3" ht="12.75">
      <c r="B242" s="16" t="s">
        <v>395</v>
      </c>
      <c r="C242" s="40"/>
    </row>
    <row r="244" ht="12.75">
      <c r="A244" s="6" t="s">
        <v>99</v>
      </c>
    </row>
    <row r="245" ht="12.75">
      <c r="A245" s="17" t="s">
        <v>100</v>
      </c>
    </row>
    <row r="246" ht="12.75">
      <c r="A246" s="17" t="s">
        <v>101</v>
      </c>
    </row>
    <row r="247" ht="12.75">
      <c r="A247" s="1" t="s">
        <v>102</v>
      </c>
    </row>
    <row r="248" ht="12.75">
      <c r="A248" s="1" t="s">
        <v>103</v>
      </c>
    </row>
    <row r="250" spans="2:3" ht="12.75">
      <c r="B250" s="13" t="s">
        <v>17</v>
      </c>
      <c r="C250" s="13" t="s">
        <v>104</v>
      </c>
    </row>
    <row r="251" spans="2:3" ht="12.75">
      <c r="B251" s="16" t="s">
        <v>384</v>
      </c>
      <c r="C251" s="40"/>
    </row>
    <row r="252" spans="2:3" ht="12.75">
      <c r="B252" s="16" t="s">
        <v>385</v>
      </c>
      <c r="C252" s="40"/>
    </row>
    <row r="253" spans="2:3" ht="12.75">
      <c r="B253" s="16" t="s">
        <v>386</v>
      </c>
      <c r="C253" s="40"/>
    </row>
    <row r="254" spans="2:3" ht="12.75">
      <c r="B254" s="16" t="s">
        <v>387</v>
      </c>
      <c r="C254" s="40"/>
    </row>
    <row r="255" spans="2:3" ht="12.75">
      <c r="B255" s="16" t="s">
        <v>388</v>
      </c>
      <c r="C255" s="40"/>
    </row>
    <row r="256" spans="2:3" ht="12.75">
      <c r="B256" s="16" t="s">
        <v>389</v>
      </c>
      <c r="C256" s="40"/>
    </row>
    <row r="257" spans="2:3" ht="12.75">
      <c r="B257" s="16" t="s">
        <v>390</v>
      </c>
      <c r="C257" s="40"/>
    </row>
    <row r="258" spans="2:3" ht="12.75">
      <c r="B258" s="16" t="s">
        <v>391</v>
      </c>
      <c r="C258" s="40"/>
    </row>
    <row r="259" spans="2:3" ht="12.75">
      <c r="B259" s="16" t="s">
        <v>392</v>
      </c>
      <c r="C259" s="40"/>
    </row>
    <row r="260" spans="2:3" ht="12.75">
      <c r="B260" s="16" t="s">
        <v>393</v>
      </c>
      <c r="C260" s="40"/>
    </row>
    <row r="261" spans="2:3" ht="12.75">
      <c r="B261" s="16" t="s">
        <v>394</v>
      </c>
      <c r="C261" s="40"/>
    </row>
    <row r="262" spans="2:3" ht="12.75">
      <c r="B262" s="16" t="s">
        <v>395</v>
      </c>
      <c r="C262" s="40"/>
    </row>
  </sheetData>
  <sheetProtection/>
  <mergeCells count="43">
    <mergeCell ref="F143:G143"/>
    <mergeCell ref="F144:G144"/>
    <mergeCell ref="F145:G145"/>
    <mergeCell ref="F139:G139"/>
    <mergeCell ref="F140:G140"/>
    <mergeCell ref="F141:G141"/>
    <mergeCell ref="F142:G142"/>
    <mergeCell ref="F135:G135"/>
    <mergeCell ref="F136:G136"/>
    <mergeCell ref="F137:G137"/>
    <mergeCell ref="F138:G138"/>
    <mergeCell ref="B106:C106"/>
    <mergeCell ref="B107:C107"/>
    <mergeCell ref="F133:G133"/>
    <mergeCell ref="F134:G134"/>
    <mergeCell ref="C74:D74"/>
    <mergeCell ref="B103:C103"/>
    <mergeCell ref="B104:C104"/>
    <mergeCell ref="B105:C105"/>
    <mergeCell ref="C70:D70"/>
    <mergeCell ref="C71:D71"/>
    <mergeCell ref="C72:D72"/>
    <mergeCell ref="C73:D73"/>
    <mergeCell ref="C66:D66"/>
    <mergeCell ref="C67:D67"/>
    <mergeCell ref="C68:D68"/>
    <mergeCell ref="C69:D69"/>
    <mergeCell ref="C62:D62"/>
    <mergeCell ref="C65:D65"/>
    <mergeCell ref="C64:D64"/>
    <mergeCell ref="C63:D6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52:D52"/>
    <mergeCell ref="C53:D53"/>
  </mergeCells>
  <printOptions/>
  <pageMargins left="0.3937007874015748" right="0.3937007874015748" top="0.9448818897637796" bottom="0.5905511811023623" header="0" footer="0"/>
  <pageSetup horizontalDpi="300" verticalDpi="300" orientation="landscape" paperSize="9" scale="99" r:id="rId2"/>
  <headerFooter alignWithMargins="0">
    <oddHeader>&amp;L&amp;G</oddHeader>
  </headerFooter>
  <rowBreaks count="4" manualBreakCount="4">
    <brk id="37" max="9" man="1"/>
    <brk id="76" max="9" man="1"/>
    <brk id="150" max="255" man="1"/>
    <brk id="22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05"/>
  <sheetViews>
    <sheetView view="pageBreakPreview" zoomScaleNormal="95" zoomScaleSheetLayoutView="100" zoomScalePageLayoutView="0" workbookViewId="0" topLeftCell="A1">
      <selection activeCell="N22" sqref="N22"/>
    </sheetView>
  </sheetViews>
  <sheetFormatPr defaultColWidth="34.57421875" defaultRowHeight="12.75"/>
  <cols>
    <col min="1" max="1" width="29.57421875" style="66" bestFit="1" customWidth="1"/>
    <col min="2" max="13" width="8.7109375" style="54" customWidth="1"/>
    <col min="14" max="14" width="8.7109375" style="49" customWidth="1"/>
    <col min="15" max="16384" width="34.57421875" style="54" customWidth="1"/>
  </cols>
  <sheetData>
    <row r="1" spans="1:14" s="49" customFormat="1" ht="12.75">
      <c r="A1" s="47"/>
      <c r="B1" s="48" t="s">
        <v>384</v>
      </c>
      <c r="C1" s="48" t="s">
        <v>385</v>
      </c>
      <c r="D1" s="48" t="s">
        <v>386</v>
      </c>
      <c r="E1" s="48" t="s">
        <v>387</v>
      </c>
      <c r="F1" s="48" t="s">
        <v>388</v>
      </c>
      <c r="G1" s="48" t="s">
        <v>389</v>
      </c>
      <c r="H1" s="48" t="s">
        <v>390</v>
      </c>
      <c r="I1" s="48" t="s">
        <v>391</v>
      </c>
      <c r="J1" s="48" t="s">
        <v>392</v>
      </c>
      <c r="K1" s="48" t="s">
        <v>393</v>
      </c>
      <c r="L1" s="48" t="s">
        <v>394</v>
      </c>
      <c r="M1" s="48" t="s">
        <v>395</v>
      </c>
      <c r="N1" s="48" t="s">
        <v>105</v>
      </c>
    </row>
    <row r="2" spans="1:14" s="50" customFormat="1" ht="12.75">
      <c r="A2" s="118" t="s">
        <v>74</v>
      </c>
      <c r="B2" s="56">
        <f>+B3</f>
        <v>0</v>
      </c>
      <c r="C2" s="56">
        <f aca="true" t="shared" si="0" ref="C2:M2">+C3</f>
        <v>0</v>
      </c>
      <c r="D2" s="56">
        <f t="shared" si="0"/>
        <v>0</v>
      </c>
      <c r="E2" s="56">
        <f t="shared" si="0"/>
        <v>0</v>
      </c>
      <c r="F2" s="56">
        <f t="shared" si="0"/>
        <v>0</v>
      </c>
      <c r="G2" s="56">
        <f t="shared" si="0"/>
        <v>0</v>
      </c>
      <c r="H2" s="56">
        <f t="shared" si="0"/>
        <v>0</v>
      </c>
      <c r="I2" s="56">
        <f t="shared" si="0"/>
        <v>0</v>
      </c>
      <c r="J2" s="56">
        <f t="shared" si="0"/>
        <v>0</v>
      </c>
      <c r="K2" s="56">
        <f t="shared" si="0"/>
        <v>0</v>
      </c>
      <c r="L2" s="56">
        <f t="shared" si="0"/>
        <v>0</v>
      </c>
      <c r="M2" s="56">
        <f t="shared" si="0"/>
        <v>0</v>
      </c>
      <c r="N2" s="56">
        <f>SUM(B2:M2)</f>
        <v>0</v>
      </c>
    </row>
    <row r="3" spans="1:14" ht="27" customHeight="1">
      <c r="A3" s="51" t="s">
        <v>106</v>
      </c>
      <c r="B3" s="52">
        <f>+CUESTIONARIO!C44</f>
        <v>0</v>
      </c>
      <c r="C3" s="52">
        <f>+CUESTIONARIO!C45</f>
        <v>0</v>
      </c>
      <c r="D3" s="52">
        <f>+CUESTIONARIO!C46</f>
        <v>0</v>
      </c>
      <c r="E3" s="52">
        <f>+CUESTIONARIO!C47</f>
        <v>0</v>
      </c>
      <c r="F3" s="52">
        <f>+CUESTIONARIO!C48</f>
        <v>0</v>
      </c>
      <c r="G3" s="52">
        <f>+CUESTIONARIO!C49</f>
        <v>0</v>
      </c>
      <c r="H3" s="52">
        <f>+CUESTIONARIO!C50</f>
        <v>0</v>
      </c>
      <c r="I3" s="52">
        <f>+CUESTIONARIO!C51</f>
        <v>0</v>
      </c>
      <c r="J3" s="52">
        <f>+CUESTIONARIO!C52</f>
        <v>0</v>
      </c>
      <c r="K3" s="52">
        <f>+CUESTIONARIO!C53</f>
        <v>0</v>
      </c>
      <c r="L3" s="52">
        <f>+CUESTIONARIO!C54</f>
        <v>0</v>
      </c>
      <c r="M3" s="52">
        <f>+CUESTIONARIO!C55</f>
        <v>0</v>
      </c>
      <c r="N3" s="53">
        <f>SUM(B3:M3)</f>
        <v>0</v>
      </c>
    </row>
    <row r="4" spans="1:14" s="49" customFormat="1" ht="12.75">
      <c r="A4" s="55" t="s">
        <v>75</v>
      </c>
      <c r="B4" s="56">
        <f aca="true" t="shared" si="1" ref="B4:M4">+B5+B6+B7+B14</f>
        <v>0</v>
      </c>
      <c r="C4" s="56">
        <f t="shared" si="1"/>
        <v>0</v>
      </c>
      <c r="D4" s="56">
        <f t="shared" si="1"/>
        <v>0</v>
      </c>
      <c r="E4" s="56">
        <f t="shared" si="1"/>
        <v>0</v>
      </c>
      <c r="F4" s="56">
        <f t="shared" si="1"/>
        <v>0</v>
      </c>
      <c r="G4" s="56">
        <f t="shared" si="1"/>
        <v>0</v>
      </c>
      <c r="H4" s="56">
        <f t="shared" si="1"/>
        <v>0</v>
      </c>
      <c r="I4" s="56">
        <f t="shared" si="1"/>
        <v>0</v>
      </c>
      <c r="J4" s="56">
        <f t="shared" si="1"/>
        <v>0</v>
      </c>
      <c r="K4" s="56">
        <f t="shared" si="1"/>
        <v>0</v>
      </c>
      <c r="L4" s="56">
        <f t="shared" si="1"/>
        <v>0</v>
      </c>
      <c r="M4" s="56">
        <f t="shared" si="1"/>
        <v>0</v>
      </c>
      <c r="N4" s="56">
        <f aca="true" t="shared" si="2" ref="N4:N22">SUM(B4:M4)</f>
        <v>0</v>
      </c>
    </row>
    <row r="5" spans="1:14" ht="12.75">
      <c r="A5" s="51" t="s">
        <v>107</v>
      </c>
      <c r="B5" s="52">
        <f>+CUESTIONARIO!C63</f>
        <v>0</v>
      </c>
      <c r="C5" s="52">
        <f>+CUESTIONARIO!C64</f>
        <v>0</v>
      </c>
      <c r="D5" s="52">
        <f>+CUESTIONARIO!C65</f>
        <v>0</v>
      </c>
      <c r="E5" s="52">
        <f>+CUESTIONARIO!C66</f>
        <v>0</v>
      </c>
      <c r="F5" s="52">
        <f>+CUESTIONARIO!C67</f>
        <v>0</v>
      </c>
      <c r="G5" s="52">
        <f>+CUESTIONARIO!C68</f>
        <v>0</v>
      </c>
      <c r="H5" s="52">
        <f>+CUESTIONARIO!C69</f>
        <v>0</v>
      </c>
      <c r="I5" s="52">
        <f>+CUESTIONARIO!C70</f>
        <v>0</v>
      </c>
      <c r="J5" s="52">
        <f>+CUESTIONARIO!C71</f>
        <v>0</v>
      </c>
      <c r="K5" s="52">
        <f>+CUESTIONARIO!C72</f>
        <v>0</v>
      </c>
      <c r="L5" s="52">
        <f>+CUESTIONARIO!C73</f>
        <v>0</v>
      </c>
      <c r="M5" s="52">
        <f>+CUESTIONARIO!C74</f>
        <v>0</v>
      </c>
      <c r="N5" s="53">
        <f t="shared" si="2"/>
        <v>0</v>
      </c>
    </row>
    <row r="6" spans="1:14" ht="12.75">
      <c r="A6" s="51" t="s">
        <v>108</v>
      </c>
      <c r="B6" s="52">
        <f>+CUESTIONARIO!$C$100/12+CUESTIONARIO!$D$100/12+CUESTIONARIO!$C$108/12+CUESTIONARIO!$D$108/12</f>
        <v>0</v>
      </c>
      <c r="C6" s="52">
        <f>+CUESTIONARIO!$C$100/12+CUESTIONARIO!$D$100/12+CUESTIONARIO!$C$108/12+CUESTIONARIO!$D$108/12</f>
        <v>0</v>
      </c>
      <c r="D6" s="52">
        <f>+CUESTIONARIO!$C$100/12+CUESTIONARIO!$D$100/12+CUESTIONARIO!$C$108/12+CUESTIONARIO!$D$108/12</f>
        <v>0</v>
      </c>
      <c r="E6" s="52">
        <f>+CUESTIONARIO!$C$100/12+CUESTIONARIO!$D$100/12+CUESTIONARIO!$C$108/12+CUESTIONARIO!$D$108/12</f>
        <v>0</v>
      </c>
      <c r="F6" s="52">
        <f>+CUESTIONARIO!$C$100/12+CUESTIONARIO!$D$100/12+CUESTIONARIO!$C$108/12+CUESTIONARIO!$D$108/12</f>
        <v>0</v>
      </c>
      <c r="G6" s="52">
        <f>+CUESTIONARIO!$C$100/12+CUESTIONARIO!$D$100/12+CUESTIONARIO!$C$108/12+CUESTIONARIO!$D$108/12</f>
        <v>0</v>
      </c>
      <c r="H6" s="52">
        <f>+CUESTIONARIO!$C$100/12+CUESTIONARIO!$D$100/12+CUESTIONARIO!$C$108/12+CUESTIONARIO!$D$108/12</f>
        <v>0</v>
      </c>
      <c r="I6" s="52">
        <f>+CUESTIONARIO!$C$100/12+CUESTIONARIO!$D$100/12+CUESTIONARIO!$C$108/12+CUESTIONARIO!$D$108/12</f>
        <v>0</v>
      </c>
      <c r="J6" s="52">
        <f>+CUESTIONARIO!$C$100/12+CUESTIONARIO!$D$100/12+CUESTIONARIO!$C$108/12+CUESTIONARIO!$D$108/12</f>
        <v>0</v>
      </c>
      <c r="K6" s="52">
        <f>+CUESTIONARIO!$C$100/12+CUESTIONARIO!$D$100/12+CUESTIONARIO!$C$108/12+CUESTIONARIO!$D$108/12</f>
        <v>0</v>
      </c>
      <c r="L6" s="52">
        <f>+CUESTIONARIO!$C$100/12+CUESTIONARIO!$D$100/12+CUESTIONARIO!$C$108/12+CUESTIONARIO!$D$108/12</f>
        <v>0</v>
      </c>
      <c r="M6" s="52">
        <f>+CUESTIONARIO!$C$100/12+CUESTIONARIO!$D$100/12+CUESTIONARIO!$C$108/12+CUESTIONARIO!$D$108/12</f>
        <v>0</v>
      </c>
      <c r="N6" s="53">
        <f t="shared" si="2"/>
        <v>0</v>
      </c>
    </row>
    <row r="7" spans="1:14" ht="12.75">
      <c r="A7" s="57" t="s">
        <v>109</v>
      </c>
      <c r="B7" s="52">
        <f>+SUM(B8:B13)</f>
        <v>0</v>
      </c>
      <c r="C7" s="52">
        <f aca="true" t="shared" si="3" ref="C7:M7">+SUM(C8:C13)</f>
        <v>0</v>
      </c>
      <c r="D7" s="52">
        <f t="shared" si="3"/>
        <v>0</v>
      </c>
      <c r="E7" s="52">
        <f t="shared" si="3"/>
        <v>0</v>
      </c>
      <c r="F7" s="52">
        <f t="shared" si="3"/>
        <v>0</v>
      </c>
      <c r="G7" s="52">
        <f t="shared" si="3"/>
        <v>0</v>
      </c>
      <c r="H7" s="52">
        <f t="shared" si="3"/>
        <v>0</v>
      </c>
      <c r="I7" s="52">
        <f t="shared" si="3"/>
        <v>0</v>
      </c>
      <c r="J7" s="52">
        <f t="shared" si="3"/>
        <v>0</v>
      </c>
      <c r="K7" s="52">
        <f t="shared" si="3"/>
        <v>0</v>
      </c>
      <c r="L7" s="52">
        <f t="shared" si="3"/>
        <v>0</v>
      </c>
      <c r="M7" s="52">
        <f t="shared" si="3"/>
        <v>0</v>
      </c>
      <c r="N7" s="53">
        <f t="shared" si="2"/>
        <v>0</v>
      </c>
    </row>
    <row r="8" spans="1:14" ht="12.75">
      <c r="A8" s="51" t="s">
        <v>110</v>
      </c>
      <c r="B8" s="52">
        <f>+CUESTIONARIO!$F$125</f>
        <v>0</v>
      </c>
      <c r="C8" s="52">
        <f>+CUESTIONARIO!$F$125</f>
        <v>0</v>
      </c>
      <c r="D8" s="52">
        <f>+CUESTIONARIO!$F$125</f>
        <v>0</v>
      </c>
      <c r="E8" s="52">
        <f>+CUESTIONARIO!$F$125</f>
        <v>0</v>
      </c>
      <c r="F8" s="52">
        <f>+CUESTIONARIO!$F$125</f>
        <v>0</v>
      </c>
      <c r="G8" s="52">
        <f>+CUESTIONARIO!$F$125</f>
        <v>0</v>
      </c>
      <c r="H8" s="52">
        <f>+CUESTIONARIO!$F$125</f>
        <v>0</v>
      </c>
      <c r="I8" s="52">
        <f>+CUESTIONARIO!$F$125</f>
        <v>0</v>
      </c>
      <c r="J8" s="52">
        <f>+CUESTIONARIO!$F$125</f>
        <v>0</v>
      </c>
      <c r="K8" s="52">
        <f>+CUESTIONARIO!$F$125</f>
        <v>0</v>
      </c>
      <c r="L8" s="52">
        <f>+CUESTIONARIO!$F$125</f>
        <v>0</v>
      </c>
      <c r="M8" s="52">
        <f>+CUESTIONARIO!$F$125</f>
        <v>0</v>
      </c>
      <c r="N8" s="53">
        <f t="shared" si="2"/>
        <v>0</v>
      </c>
    </row>
    <row r="9" spans="1:14" ht="12.75">
      <c r="A9" s="51" t="s">
        <v>111</v>
      </c>
      <c r="B9" s="52">
        <f>+CUESTIONARIO!C134+CUESTIONARIO!D134</f>
        <v>0</v>
      </c>
      <c r="C9" s="52">
        <f>+CUESTIONARIO!C135+CUESTIONARIO!D135</f>
        <v>0</v>
      </c>
      <c r="D9" s="52">
        <f>+CUESTIONARIO!C136+CUESTIONARIO!D136</f>
        <v>0</v>
      </c>
      <c r="E9" s="52">
        <f>+CUESTIONARIO!C137+CUESTIONARIO!D137</f>
        <v>0</v>
      </c>
      <c r="F9" s="52">
        <f>+CUESTIONARIO!C138+CUESTIONARIO!D138</f>
        <v>0</v>
      </c>
      <c r="G9" s="52">
        <f>+CUESTIONARIO!C139+CUESTIONARIO!D139</f>
        <v>0</v>
      </c>
      <c r="H9" s="52">
        <f>+CUESTIONARIO!C140+CUESTIONARIO!D140</f>
        <v>0</v>
      </c>
      <c r="I9" s="52">
        <f>+CUESTIONARIO!C141+CUESTIONARIO!D141</f>
        <v>0</v>
      </c>
      <c r="J9" s="52">
        <f>+CUESTIONARIO!C142+CUESTIONARIO!D142</f>
        <v>0</v>
      </c>
      <c r="K9" s="52">
        <f>+CUESTIONARIO!C143+CUESTIONARIO!D143</f>
        <v>0</v>
      </c>
      <c r="L9" s="52">
        <f>+CUESTIONARIO!C144+CUESTIONARIO!D144</f>
        <v>0</v>
      </c>
      <c r="M9" s="52">
        <f>+CUESTIONARIO!C145+CUESTIONARIO!D145</f>
        <v>0</v>
      </c>
      <c r="N9" s="53">
        <f t="shared" si="2"/>
        <v>0</v>
      </c>
    </row>
    <row r="10" spans="1:14" ht="12.75">
      <c r="A10" s="51" t="s">
        <v>112</v>
      </c>
      <c r="B10" s="52">
        <f>+CUESTIONARIO!E134</f>
        <v>0</v>
      </c>
      <c r="C10" s="52">
        <f>+CUESTIONARIO!E135</f>
        <v>0</v>
      </c>
      <c r="D10" s="52">
        <f>+CUESTIONARIO!E136</f>
        <v>0</v>
      </c>
      <c r="E10" s="52">
        <f>+CUESTIONARIO!E137</f>
        <v>0</v>
      </c>
      <c r="F10" s="52">
        <f>+CUESTIONARIO!E138</f>
        <v>0</v>
      </c>
      <c r="G10" s="52">
        <f>+CUESTIONARIO!E139</f>
        <v>0</v>
      </c>
      <c r="H10" s="52">
        <f>+CUESTIONARIO!E140</f>
        <v>0</v>
      </c>
      <c r="I10" s="52">
        <f>+CUESTIONARIO!E141</f>
        <v>0</v>
      </c>
      <c r="J10" s="52">
        <f>+CUESTIONARIO!E142</f>
        <v>0</v>
      </c>
      <c r="K10" s="52">
        <f>+CUESTIONARIO!E143</f>
        <v>0</v>
      </c>
      <c r="L10" s="52">
        <f>+CUESTIONARIO!E144</f>
        <v>0</v>
      </c>
      <c r="M10" s="52">
        <f>+CUESTIONARIO!E145</f>
        <v>0</v>
      </c>
      <c r="N10" s="53">
        <f t="shared" si="2"/>
        <v>0</v>
      </c>
    </row>
    <row r="11" spans="1:14" ht="12.75">
      <c r="A11" s="51" t="s">
        <v>113</v>
      </c>
      <c r="B11" s="52">
        <f>+CUESTIONARIO!F134</f>
        <v>0</v>
      </c>
      <c r="C11" s="52">
        <f>+CUESTIONARIO!F135</f>
        <v>0</v>
      </c>
      <c r="D11" s="52">
        <f>+CUESTIONARIO!F136</f>
        <v>0</v>
      </c>
      <c r="E11" s="52">
        <f>+CUESTIONARIO!F137</f>
        <v>0</v>
      </c>
      <c r="F11" s="52">
        <f>+CUESTIONARIO!F138</f>
        <v>0</v>
      </c>
      <c r="G11" s="52">
        <f>+CUESTIONARIO!F139</f>
        <v>0</v>
      </c>
      <c r="H11" s="52">
        <f>+CUESTIONARIO!F140</f>
        <v>0</v>
      </c>
      <c r="I11" s="52">
        <f>+CUESTIONARIO!F141</f>
        <v>0</v>
      </c>
      <c r="J11" s="52">
        <f>+CUESTIONARIO!F142</f>
        <v>0</v>
      </c>
      <c r="K11" s="52">
        <f>+CUESTIONARIO!F143</f>
        <v>0</v>
      </c>
      <c r="L11" s="52">
        <f>+CUESTIONARIO!F144</f>
        <v>0</v>
      </c>
      <c r="M11" s="52">
        <f>+CUESTIONARIO!F145</f>
        <v>0</v>
      </c>
      <c r="N11" s="53">
        <f t="shared" si="2"/>
        <v>0</v>
      </c>
    </row>
    <row r="12" spans="1:14" ht="12.75">
      <c r="A12" s="51" t="s">
        <v>114</v>
      </c>
      <c r="B12" s="52">
        <f>+CUESTIONARIO!H134</f>
        <v>0</v>
      </c>
      <c r="C12" s="52">
        <f>+CUESTIONARIO!H135</f>
        <v>0</v>
      </c>
      <c r="D12" s="52">
        <f>+CUESTIONARIO!H136</f>
        <v>0</v>
      </c>
      <c r="E12" s="52">
        <f>+CUESTIONARIO!H137</f>
        <v>0</v>
      </c>
      <c r="F12" s="52">
        <f>+CUESTIONARIO!H138</f>
        <v>0</v>
      </c>
      <c r="G12" s="52">
        <f>+CUESTIONARIO!H139</f>
        <v>0</v>
      </c>
      <c r="H12" s="52">
        <f>+CUESTIONARIO!H140</f>
        <v>0</v>
      </c>
      <c r="I12" s="52">
        <f>+CUESTIONARIO!H141</f>
        <v>0</v>
      </c>
      <c r="J12" s="52">
        <f>+CUESTIONARIO!H142</f>
        <v>0</v>
      </c>
      <c r="K12" s="52">
        <f>+CUESTIONARIO!H143</f>
        <v>0</v>
      </c>
      <c r="L12" s="52">
        <f>+CUESTIONARIO!H144</f>
        <v>0</v>
      </c>
      <c r="M12" s="52">
        <f>+CUESTIONARIO!H145</f>
        <v>0</v>
      </c>
      <c r="N12" s="53">
        <f t="shared" si="2"/>
        <v>0</v>
      </c>
    </row>
    <row r="13" spans="1:14" ht="12.75">
      <c r="A13" s="51" t="s">
        <v>115</v>
      </c>
      <c r="B13" s="52">
        <f>+CUESTIONARIO!I134</f>
        <v>0</v>
      </c>
      <c r="C13" s="52">
        <f>+CUESTIONARIO!I135</f>
        <v>0</v>
      </c>
      <c r="D13" s="52">
        <f>+CUESTIONARIO!I136</f>
        <v>0</v>
      </c>
      <c r="E13" s="52">
        <f>+CUESTIONARIO!I137</f>
        <v>0</v>
      </c>
      <c r="F13" s="52">
        <f>+CUESTIONARIO!I138</f>
        <v>0</v>
      </c>
      <c r="G13" s="52">
        <f>+CUESTIONARIO!I139</f>
        <v>0</v>
      </c>
      <c r="H13" s="52">
        <f>+CUESTIONARIO!I140</f>
        <v>0</v>
      </c>
      <c r="I13" s="52">
        <f>+CUESTIONARIO!I141</f>
        <v>0</v>
      </c>
      <c r="J13" s="52">
        <f>+CUESTIONARIO!I142</f>
        <v>0</v>
      </c>
      <c r="K13" s="52">
        <f>+CUESTIONARIO!I143</f>
        <v>0</v>
      </c>
      <c r="L13" s="52">
        <f>+CUESTIONARIO!I144</f>
        <v>0</v>
      </c>
      <c r="M13" s="52">
        <f>+CUESTIONARIO!I145</f>
        <v>0</v>
      </c>
      <c r="N13" s="53">
        <f t="shared" si="2"/>
        <v>0</v>
      </c>
    </row>
    <row r="14" spans="1:14" ht="12.75">
      <c r="A14" s="51" t="s">
        <v>116</v>
      </c>
      <c r="B14" s="52">
        <f>-Balance!$B$4-Balance!$B$6-Balance!$B$8</f>
        <v>0</v>
      </c>
      <c r="C14" s="52">
        <f>-Balance!$B$4-Balance!$B$6-Balance!$B$8</f>
        <v>0</v>
      </c>
      <c r="D14" s="52">
        <f>-Balance!$B$4-Balance!$B$6-Balance!$B$8</f>
        <v>0</v>
      </c>
      <c r="E14" s="52">
        <f>-Balance!$B$4-Balance!$B$6-Balance!$B$8</f>
        <v>0</v>
      </c>
      <c r="F14" s="52">
        <f>-Balance!$B$4-Balance!$B$6-Balance!$B$8</f>
        <v>0</v>
      </c>
      <c r="G14" s="52">
        <f>-Balance!$B$4-Balance!$B$6-Balance!$B$8</f>
        <v>0</v>
      </c>
      <c r="H14" s="52">
        <f>-Balance!$B$4-Balance!$B$6-Balance!$B$8</f>
        <v>0</v>
      </c>
      <c r="I14" s="52">
        <f>-Balance!$B$4-Balance!$B$6-Balance!$B$8</f>
        <v>0</v>
      </c>
      <c r="J14" s="52">
        <f>-Balance!$B$4-Balance!$B$6-Balance!$B$8</f>
        <v>0</v>
      </c>
      <c r="K14" s="52">
        <f>-Balance!$B$4-Balance!$B$6-Balance!$B$8</f>
        <v>0</v>
      </c>
      <c r="L14" s="52">
        <f>-Balance!$B$4-Balance!$B$6-Balance!$B$8</f>
        <v>0</v>
      </c>
      <c r="M14" s="52">
        <f>-Balance!$B$4-Balance!$B$6-Balance!$B$8</f>
        <v>0</v>
      </c>
      <c r="N14" s="53">
        <f t="shared" si="2"/>
        <v>0</v>
      </c>
    </row>
    <row r="15" spans="1:14" s="49" customFormat="1" ht="24" customHeight="1">
      <c r="A15" s="55" t="s">
        <v>117</v>
      </c>
      <c r="B15" s="56">
        <f aca="true" t="shared" si="4" ref="B15:M15">+B2-B4</f>
        <v>0</v>
      </c>
      <c r="C15" s="56">
        <f t="shared" si="4"/>
        <v>0</v>
      </c>
      <c r="D15" s="56">
        <f t="shared" si="4"/>
        <v>0</v>
      </c>
      <c r="E15" s="56">
        <f t="shared" si="4"/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56">
        <f t="shared" si="4"/>
        <v>0</v>
      </c>
      <c r="M15" s="56">
        <f t="shared" si="4"/>
        <v>0</v>
      </c>
      <c r="N15" s="56">
        <f t="shared" si="2"/>
        <v>0</v>
      </c>
    </row>
    <row r="16" spans="1:14" ht="12.75">
      <c r="A16" s="51" t="s">
        <v>118</v>
      </c>
      <c r="B16" s="52">
        <f>+Tesorería!B23</f>
        <v>0</v>
      </c>
      <c r="C16" s="52">
        <f>+Tesorería!C23</f>
        <v>0</v>
      </c>
      <c r="D16" s="52">
        <f>+Tesorería!D23</f>
        <v>0</v>
      </c>
      <c r="E16" s="52">
        <f>+Tesorería!E23</f>
        <v>0</v>
      </c>
      <c r="F16" s="52">
        <f>+Tesorería!F23</f>
        <v>0</v>
      </c>
      <c r="G16" s="52">
        <f>+Tesorería!G23</f>
        <v>0</v>
      </c>
      <c r="H16" s="52">
        <f>+Tesorería!H23</f>
        <v>0</v>
      </c>
      <c r="I16" s="52">
        <f>+Tesorería!I23</f>
        <v>0</v>
      </c>
      <c r="J16" s="52">
        <f>+Tesorería!J23</f>
        <v>0</v>
      </c>
      <c r="K16" s="52">
        <f>+Tesorería!K23</f>
        <v>0</v>
      </c>
      <c r="L16" s="52">
        <f>+Tesorería!L23</f>
        <v>0</v>
      </c>
      <c r="M16" s="52">
        <f>+Tesorería!M23</f>
        <v>0</v>
      </c>
      <c r="N16" s="53">
        <f t="shared" si="2"/>
        <v>0</v>
      </c>
    </row>
    <row r="17" spans="1:14" s="49" customFormat="1" ht="12.75">
      <c r="A17" s="55" t="s">
        <v>119</v>
      </c>
      <c r="B17" s="56">
        <f>+B15-B16</f>
        <v>0</v>
      </c>
      <c r="C17" s="56">
        <f aca="true" t="shared" si="5" ref="C17:M17">+C15-C16</f>
        <v>0</v>
      </c>
      <c r="D17" s="56">
        <f t="shared" si="5"/>
        <v>0</v>
      </c>
      <c r="E17" s="56">
        <f t="shared" si="5"/>
        <v>0</v>
      </c>
      <c r="F17" s="56">
        <f t="shared" si="5"/>
        <v>0</v>
      </c>
      <c r="G17" s="56">
        <f t="shared" si="5"/>
        <v>0</v>
      </c>
      <c r="H17" s="56">
        <f t="shared" si="5"/>
        <v>0</v>
      </c>
      <c r="I17" s="56">
        <f>+I15-I16</f>
        <v>0</v>
      </c>
      <c r="J17" s="56">
        <f t="shared" si="5"/>
        <v>0</v>
      </c>
      <c r="K17" s="56">
        <f t="shared" si="5"/>
        <v>0</v>
      </c>
      <c r="L17" s="56">
        <f t="shared" si="5"/>
        <v>0</v>
      </c>
      <c r="M17" s="56">
        <f t="shared" si="5"/>
        <v>0</v>
      </c>
      <c r="N17" s="56">
        <f t="shared" si="2"/>
        <v>0</v>
      </c>
    </row>
    <row r="18" spans="1:14" ht="12.75">
      <c r="A18" s="51" t="s">
        <v>120</v>
      </c>
      <c r="B18" s="52">
        <f>+CUESTIONARIO!C169</f>
        <v>0</v>
      </c>
      <c r="C18" s="52">
        <f>+CUESTIONARIO!D170</f>
        <v>0</v>
      </c>
      <c r="D18" s="52">
        <f>+CUESTIONARIO!C171</f>
        <v>0</v>
      </c>
      <c r="E18" s="52">
        <f>+CUESTIONARIO!C172</f>
        <v>0</v>
      </c>
      <c r="F18" s="52">
        <f>+CUESTIONARIO!C173</f>
        <v>0</v>
      </c>
      <c r="G18" s="52">
        <f>+CUESTIONARIO!C174</f>
        <v>0</v>
      </c>
      <c r="H18" s="52">
        <f>+CUESTIONARIO!C175</f>
        <v>0</v>
      </c>
      <c r="I18" s="52">
        <f>+CUESTIONARIO!C176</f>
        <v>0</v>
      </c>
      <c r="J18" s="52">
        <f>+CUESTIONARIO!C177</f>
        <v>0</v>
      </c>
      <c r="K18" s="52">
        <f>+CUESTIONARIO!C178</f>
        <v>0</v>
      </c>
      <c r="L18" s="52">
        <f>+CUESTIONARIO!C179</f>
        <v>0</v>
      </c>
      <c r="M18" s="52">
        <f>+CUESTIONARIO!C180</f>
        <v>0</v>
      </c>
      <c r="N18" s="53">
        <f t="shared" si="2"/>
        <v>0</v>
      </c>
    </row>
    <row r="19" spans="1:14" ht="12.75">
      <c r="A19" s="51" t="s">
        <v>121</v>
      </c>
      <c r="B19" s="52">
        <f>+CUESTIONARIO!D169</f>
        <v>0</v>
      </c>
      <c r="C19" s="52">
        <f>+CUESTIONARIO!D170</f>
        <v>0</v>
      </c>
      <c r="D19" s="52">
        <f>+CUESTIONARIO!D171</f>
        <v>0</v>
      </c>
      <c r="E19" s="52">
        <f>+CUESTIONARIO!D172</f>
        <v>0</v>
      </c>
      <c r="F19" s="52">
        <f>+CUESTIONARIO!D173</f>
        <v>0</v>
      </c>
      <c r="G19" s="52">
        <f>+CUESTIONARIO!D174</f>
        <v>0</v>
      </c>
      <c r="H19" s="52">
        <f>+CUESTIONARIO!D175</f>
        <v>0</v>
      </c>
      <c r="I19" s="52">
        <f>+CUESTIONARIO!D176</f>
        <v>0</v>
      </c>
      <c r="J19" s="52">
        <f>+CUESTIONARIO!D177</f>
        <v>0</v>
      </c>
      <c r="K19" s="52">
        <f>+CUESTIONARIO!D178</f>
        <v>0</v>
      </c>
      <c r="L19" s="52">
        <f>+CUESTIONARIO!D179</f>
        <v>0</v>
      </c>
      <c r="M19" s="52">
        <f>+CUESTIONARIO!D180</f>
        <v>0</v>
      </c>
      <c r="N19" s="53">
        <f t="shared" si="2"/>
        <v>0</v>
      </c>
    </row>
    <row r="20" spans="1:14" s="49" customFormat="1" ht="25.5" customHeight="1">
      <c r="A20" s="55" t="s">
        <v>122</v>
      </c>
      <c r="B20" s="56">
        <f>+B17+B18-B19</f>
        <v>0</v>
      </c>
      <c r="C20" s="56">
        <f aca="true" t="shared" si="6" ref="C20:M20">+C17+C18-C19</f>
        <v>0</v>
      </c>
      <c r="D20" s="56">
        <f t="shared" si="6"/>
        <v>0</v>
      </c>
      <c r="E20" s="56">
        <f t="shared" si="6"/>
        <v>0</v>
      </c>
      <c r="F20" s="56">
        <f t="shared" si="6"/>
        <v>0</v>
      </c>
      <c r="G20" s="56">
        <f t="shared" si="6"/>
        <v>0</v>
      </c>
      <c r="H20" s="56">
        <f t="shared" si="6"/>
        <v>0</v>
      </c>
      <c r="I20" s="56">
        <f t="shared" si="6"/>
        <v>0</v>
      </c>
      <c r="J20" s="56">
        <f t="shared" si="6"/>
        <v>0</v>
      </c>
      <c r="K20" s="56">
        <f t="shared" si="6"/>
        <v>0</v>
      </c>
      <c r="L20" s="56">
        <f t="shared" si="6"/>
        <v>0</v>
      </c>
      <c r="M20" s="56">
        <f t="shared" si="6"/>
        <v>0</v>
      </c>
      <c r="N20" s="56">
        <f t="shared" si="2"/>
        <v>0</v>
      </c>
    </row>
    <row r="21" spans="1:14" ht="12.75">
      <c r="A21" s="51" t="s">
        <v>123</v>
      </c>
      <c r="B21" s="52">
        <f>+IF(CUESTIONARIO!$G$11="SI",'P y G'!B20*0.35,0)</f>
        <v>0</v>
      </c>
      <c r="C21" s="52">
        <f>+IF(CUESTIONARIO!$G$11="SI",'P y G'!C20*0.35,0)</f>
        <v>0</v>
      </c>
      <c r="D21" s="52">
        <f>+IF(CUESTIONARIO!$G$11="SI",'P y G'!D20*0.35,0)</f>
        <v>0</v>
      </c>
      <c r="E21" s="52">
        <f>+IF(CUESTIONARIO!$G$11="SI",'P y G'!E20*0.35,0)</f>
        <v>0</v>
      </c>
      <c r="F21" s="52">
        <f>+IF(CUESTIONARIO!$G$11="SI",'P y G'!F20*0.35,0)</f>
        <v>0</v>
      </c>
      <c r="G21" s="52">
        <f>+IF(CUESTIONARIO!$G$11="SI",'P y G'!G20*0.35,0)</f>
        <v>0</v>
      </c>
      <c r="H21" s="52">
        <f>+IF(CUESTIONARIO!$G$11="SI",'P y G'!H20*0.35,0)</f>
        <v>0</v>
      </c>
      <c r="I21" s="52">
        <f>+IF(CUESTIONARIO!$G$11="SI",'P y G'!I20*0.35,0)</f>
        <v>0</v>
      </c>
      <c r="J21" s="52">
        <f>+IF(CUESTIONARIO!$G$11="SI",'P y G'!J20*0.35,0)</f>
        <v>0</v>
      </c>
      <c r="K21" s="52">
        <f>+IF(CUESTIONARIO!$G$11="SI",'P y G'!K20*0.35,0)</f>
        <v>0</v>
      </c>
      <c r="L21" s="52">
        <f>+IF(CUESTIONARIO!$G$11="SI",'P y G'!L20*0.35,0)</f>
        <v>0</v>
      </c>
      <c r="M21" s="52">
        <f>+IF(CUESTIONARIO!$G$11="SI",'P y G'!M20*0.35,0)</f>
        <v>0</v>
      </c>
      <c r="N21" s="52">
        <f>+IF(CUESTIONARIO!$G$11="SI",'P y G'!N20*0.35,0)</f>
        <v>0</v>
      </c>
    </row>
    <row r="22" spans="1:14" s="49" customFormat="1" ht="25.5" customHeight="1">
      <c r="A22" s="58" t="s">
        <v>124</v>
      </c>
      <c r="B22" s="59">
        <f>+B20-B21</f>
        <v>0</v>
      </c>
      <c r="C22" s="59">
        <f aca="true" t="shared" si="7" ref="C22:M22">+C20-C21</f>
        <v>0</v>
      </c>
      <c r="D22" s="59">
        <f t="shared" si="7"/>
        <v>0</v>
      </c>
      <c r="E22" s="59">
        <f t="shared" si="7"/>
        <v>0</v>
      </c>
      <c r="F22" s="59">
        <f t="shared" si="7"/>
        <v>0</v>
      </c>
      <c r="G22" s="59">
        <f t="shared" si="7"/>
        <v>0</v>
      </c>
      <c r="H22" s="59">
        <f t="shared" si="7"/>
        <v>0</v>
      </c>
      <c r="I22" s="59">
        <f t="shared" si="7"/>
        <v>0</v>
      </c>
      <c r="J22" s="59">
        <f t="shared" si="7"/>
        <v>0</v>
      </c>
      <c r="K22" s="59">
        <f t="shared" si="7"/>
        <v>0</v>
      </c>
      <c r="L22" s="59">
        <f t="shared" si="7"/>
        <v>0</v>
      </c>
      <c r="M22" s="59">
        <f t="shared" si="7"/>
        <v>0</v>
      </c>
      <c r="N22" s="59">
        <f t="shared" si="2"/>
        <v>0</v>
      </c>
    </row>
    <row r="23" ht="12.75">
      <c r="A23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  <row r="32" ht="12.75">
      <c r="A32" s="54"/>
    </row>
    <row r="33" ht="12.75">
      <c r="A33" s="54"/>
    </row>
    <row r="34" ht="12.75">
      <c r="A34" s="54"/>
    </row>
    <row r="35" ht="12.75">
      <c r="A35" s="54"/>
    </row>
    <row r="36" ht="12.75">
      <c r="A36" s="54"/>
    </row>
    <row r="37" ht="12.75">
      <c r="A37" s="54"/>
    </row>
    <row r="38" ht="12.75">
      <c r="A38" s="54"/>
    </row>
    <row r="39" ht="12.75">
      <c r="A39" s="54"/>
    </row>
    <row r="40" ht="12.75">
      <c r="A40" s="54"/>
    </row>
    <row r="41" ht="12.75">
      <c r="A41" s="54"/>
    </row>
    <row r="42" ht="12.75">
      <c r="A42" s="54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2.75">
      <c r="A48" s="54"/>
    </row>
    <row r="49" ht="12.75">
      <c r="A49" s="54"/>
    </row>
    <row r="50" ht="12.75">
      <c r="A50" s="54"/>
    </row>
    <row r="51" ht="12.75">
      <c r="A51" s="54"/>
    </row>
    <row r="52" ht="12.75">
      <c r="A52" s="54"/>
    </row>
    <row r="53" ht="12.75">
      <c r="A53" s="54"/>
    </row>
    <row r="54" ht="12.75">
      <c r="A54" s="54"/>
    </row>
    <row r="55" ht="12.75">
      <c r="A55" s="54"/>
    </row>
    <row r="56" ht="12.75">
      <c r="A56" s="54"/>
    </row>
    <row r="57" ht="12.75">
      <c r="A57" s="54"/>
    </row>
    <row r="58" spans="1:101" ht="12.75">
      <c r="A58" s="54"/>
      <c r="C58" s="60"/>
      <c r="D58" s="60"/>
      <c r="E58" s="60"/>
      <c r="F58" s="61"/>
      <c r="G58" s="62"/>
      <c r="H58" s="62"/>
      <c r="I58" s="62"/>
      <c r="J58" s="62"/>
      <c r="K58" s="62"/>
      <c r="L58" s="62"/>
      <c r="M58" s="62"/>
      <c r="N58" s="63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</row>
    <row r="59" spans="1:95" ht="12.75">
      <c r="A59" s="54"/>
      <c r="G59" s="62"/>
      <c r="H59" s="62"/>
      <c r="I59" s="62"/>
      <c r="J59" s="62"/>
      <c r="K59" s="62"/>
      <c r="L59" s="62"/>
      <c r="M59" s="62"/>
      <c r="N59" s="63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</row>
    <row r="60" spans="1:95" ht="12.75">
      <c r="A60" s="54"/>
      <c r="H60" s="62"/>
      <c r="I60" s="62"/>
      <c r="J60" s="62"/>
      <c r="K60" s="62"/>
      <c r="L60" s="62"/>
      <c r="M60" s="62"/>
      <c r="N60" s="63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</row>
    <row r="61" spans="1:95" ht="12.75">
      <c r="A61" s="54"/>
      <c r="G61" s="62"/>
      <c r="H61" s="62"/>
      <c r="I61" s="62"/>
      <c r="J61" s="62"/>
      <c r="K61" s="62"/>
      <c r="L61" s="62"/>
      <c r="M61" s="62"/>
      <c r="N61" s="6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</row>
    <row r="62" spans="1:95" ht="12.75">
      <c r="A62" s="54"/>
      <c r="G62" s="62"/>
      <c r="H62" s="62"/>
      <c r="I62" s="62"/>
      <c r="J62" s="62"/>
      <c r="K62" s="62"/>
      <c r="L62" s="62"/>
      <c r="M62" s="62"/>
      <c r="N62" s="6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</row>
    <row r="63" spans="1:95" ht="12.75">
      <c r="A63" s="54"/>
      <c r="G63" s="62"/>
      <c r="H63" s="62"/>
      <c r="I63" s="62"/>
      <c r="J63" s="62"/>
      <c r="K63" s="62"/>
      <c r="L63" s="62"/>
      <c r="M63" s="62"/>
      <c r="N63" s="6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</row>
    <row r="64" spans="1:95" ht="12.75">
      <c r="A64" s="54"/>
      <c r="G64" s="62"/>
      <c r="H64" s="62"/>
      <c r="I64" s="62"/>
      <c r="J64" s="62"/>
      <c r="K64" s="62"/>
      <c r="L64" s="62"/>
      <c r="M64" s="62"/>
      <c r="N64" s="6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</row>
    <row r="65" spans="1:101" ht="12.75">
      <c r="A65" s="54"/>
      <c r="C65" s="64"/>
      <c r="D65" s="64"/>
      <c r="E65" s="64"/>
      <c r="F65" s="61"/>
      <c r="G65" s="62"/>
      <c r="H65" s="62"/>
      <c r="I65" s="62"/>
      <c r="J65" s="62"/>
      <c r="K65" s="62"/>
      <c r="L65" s="62"/>
      <c r="M65" s="62"/>
      <c r="N65" s="6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</row>
    <row r="66" spans="1:101" ht="12.75">
      <c r="A66" s="54"/>
      <c r="C66" s="65"/>
      <c r="D66" s="65"/>
      <c r="E66" s="65"/>
      <c r="F66" s="62"/>
      <c r="G66" s="62"/>
      <c r="H66" s="62"/>
      <c r="I66" s="62"/>
      <c r="J66" s="62"/>
      <c r="K66" s="62"/>
      <c r="L66" s="62"/>
      <c r="M66" s="62"/>
      <c r="N66" s="6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</row>
    <row r="67" spans="1:101" ht="12.75">
      <c r="A67" s="54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</row>
    <row r="68" spans="1:101" ht="12.75">
      <c r="A68" s="54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3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</row>
    <row r="69" spans="1:101" ht="12.75">
      <c r="A69" s="5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</row>
    <row r="70" spans="1:101" ht="12.75">
      <c r="A70" s="5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</row>
    <row r="71" spans="1:101" ht="12.75">
      <c r="A71" s="54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3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</row>
    <row r="72" spans="1:101" ht="12.75">
      <c r="A72" s="54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</row>
    <row r="73" spans="1:101" ht="12.75">
      <c r="A73" s="54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</row>
    <row r="74" spans="1:101" ht="12.75">
      <c r="A74" s="54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</row>
    <row r="75" spans="1:101" ht="12.75">
      <c r="A75" s="54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3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</row>
    <row r="76" spans="1:101" ht="12.75">
      <c r="A76" s="54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</row>
    <row r="77" spans="1:101" ht="12.75">
      <c r="A77" s="54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</row>
    <row r="78" spans="1:101" ht="12.75">
      <c r="A78" s="54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</row>
    <row r="79" spans="1:101" ht="12.75">
      <c r="A79" s="54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</row>
    <row r="80" spans="1:101" ht="12.75">
      <c r="A80" s="5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</row>
    <row r="81" spans="1:101" ht="12.75">
      <c r="A81" s="54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</row>
    <row r="82" spans="1:101" ht="12.75">
      <c r="A82" s="54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</row>
    <row r="83" spans="1:101" ht="12.75">
      <c r="A83" s="54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</row>
    <row r="84" spans="1:101" ht="12.75">
      <c r="A84" s="54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3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</row>
    <row r="85" spans="1:101" ht="12.75">
      <c r="A85" s="54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</row>
    <row r="86" spans="1:101" ht="12.75">
      <c r="A86" s="54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3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</row>
    <row r="87" spans="1:101" ht="12.75">
      <c r="A87" s="54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3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</row>
    <row r="88" spans="1:101" ht="12.75">
      <c r="A88" s="54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3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</row>
    <row r="89" spans="1:101" ht="12.75">
      <c r="A89" s="54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3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</row>
    <row r="90" spans="1:101" ht="12.75">
      <c r="A90" s="54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3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</row>
    <row r="91" spans="1:101" ht="12.75">
      <c r="A91" s="54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</row>
    <row r="92" spans="1:101" ht="12.75">
      <c r="A92" s="54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3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</row>
    <row r="93" spans="1:101" ht="12.75">
      <c r="A93" s="54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3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</row>
    <row r="94" spans="1:101" ht="12.75">
      <c r="A94" s="54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3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</row>
    <row r="95" spans="1:101" ht="12.75">
      <c r="A95" s="54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3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</row>
    <row r="96" spans="1:101" ht="12.75">
      <c r="A96" s="54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3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</row>
    <row r="97" spans="1:101" ht="12.75">
      <c r="A97" s="5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3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</row>
    <row r="98" spans="1:101" ht="12.75">
      <c r="A98" s="54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3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</row>
    <row r="99" ht="12.75">
      <c r="A99" s="54"/>
    </row>
    <row r="100" ht="12.75">
      <c r="A100" s="54"/>
    </row>
    <row r="101" ht="12.75">
      <c r="A101" s="54"/>
    </row>
    <row r="102" ht="12.75">
      <c r="A102" s="54"/>
    </row>
    <row r="103" ht="12.75">
      <c r="A103" s="54"/>
    </row>
    <row r="104" ht="12.75">
      <c r="A104" s="54"/>
    </row>
    <row r="105" ht="12.75">
      <c r="A105" s="54"/>
    </row>
  </sheetData>
  <sheetProtection/>
  <hyperlinks>
    <hyperlink ref="A3" location="Explicaciones!A11" display="1. Ventas / Prestación de servicios"/>
    <hyperlink ref="A5" location="Explicaciones!A21" display="1. Aprovisionamientos / compras"/>
    <hyperlink ref="A6" location="Explicaciones!A30" display="2. Gastos de personal"/>
    <hyperlink ref="A8" location="Explicaciones!A35" display="    Alquileres"/>
    <hyperlink ref="A9" location="Explicaciones!A43" display="    Suministros"/>
    <hyperlink ref="A10" location="Explicaciones!A49" display="    Publicidad"/>
    <hyperlink ref="A11" location="Explicaciones!A55" display="    Servicios contratados"/>
    <hyperlink ref="A12" location="Explicaciones!A61" display="    Otros suministros y servicios"/>
    <hyperlink ref="A13" location="Explicaciones!A67" display="    Tributos"/>
    <hyperlink ref="A14" location="Explicaciones!A72" display="4. Amortizaciones"/>
    <hyperlink ref="A16" location="Explicaciones!A84" display="2. Gastos financieros"/>
    <hyperlink ref="A18" location="Explicaciones!A90" display="1. Ingresos Extraordinarios"/>
    <hyperlink ref="A19" location="Explicaciones!A96" display="2. Gastos Extraordinarios"/>
    <hyperlink ref="A21" location="Explicaciones!A102" display="Impuesto de Sociedades"/>
  </hyperlinks>
  <printOptions horizontalCentered="1" verticalCentered="1"/>
  <pageMargins left="0.1968503937007874" right="0.1968503937007874" top="0.984251968503937" bottom="0.984251968503937" header="0.11811023622047245" footer="0"/>
  <pageSetup horizontalDpi="300" verticalDpi="300" orientation="landscape" paperSize="9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30"/>
  <sheetViews>
    <sheetView view="pageBreakPreview" zoomScaleNormal="90" zoomScaleSheetLayoutView="100" zoomScalePageLayoutView="0" workbookViewId="0" topLeftCell="A1">
      <selection activeCell="C26" sqref="C26"/>
    </sheetView>
  </sheetViews>
  <sheetFormatPr defaultColWidth="11.421875" defaultRowHeight="12.75"/>
  <cols>
    <col min="1" max="1" width="34.140625" style="54" customWidth="1"/>
    <col min="2" max="14" width="8.28125" style="54" customWidth="1"/>
    <col min="15" max="16384" width="11.421875" style="54" customWidth="1"/>
  </cols>
  <sheetData>
    <row r="1" spans="1:101" s="49" customFormat="1" ht="24.75" customHeight="1">
      <c r="A1" s="90" t="s">
        <v>365</v>
      </c>
      <c r="B1" s="48" t="s">
        <v>384</v>
      </c>
      <c r="C1" s="48" t="s">
        <v>385</v>
      </c>
      <c r="D1" s="48" t="s">
        <v>386</v>
      </c>
      <c r="E1" s="48" t="s">
        <v>387</v>
      </c>
      <c r="F1" s="48" t="s">
        <v>388</v>
      </c>
      <c r="G1" s="48" t="s">
        <v>389</v>
      </c>
      <c r="H1" s="48" t="s">
        <v>390</v>
      </c>
      <c r="I1" s="48" t="s">
        <v>391</v>
      </c>
      <c r="J1" s="48" t="s">
        <v>392</v>
      </c>
      <c r="K1" s="48" t="s">
        <v>393</v>
      </c>
      <c r="L1" s="48" t="s">
        <v>394</v>
      </c>
      <c r="M1" s="48" t="s">
        <v>395</v>
      </c>
      <c r="N1" s="48" t="s">
        <v>105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</row>
    <row r="2" spans="1:101" ht="12.75">
      <c r="A2" s="91" t="s">
        <v>366</v>
      </c>
      <c r="B2" s="53">
        <v>0</v>
      </c>
      <c r="C2" s="53">
        <f aca="true" t="shared" si="0" ref="C2:M2">B27</f>
        <v>0</v>
      </c>
      <c r="D2" s="53">
        <f t="shared" si="0"/>
        <v>0</v>
      </c>
      <c r="E2" s="53">
        <f t="shared" si="0"/>
        <v>0</v>
      </c>
      <c r="F2" s="53">
        <f t="shared" si="0"/>
        <v>0</v>
      </c>
      <c r="G2" s="53">
        <f t="shared" si="0"/>
        <v>0</v>
      </c>
      <c r="H2" s="53">
        <f t="shared" si="0"/>
        <v>0</v>
      </c>
      <c r="I2" s="53">
        <f t="shared" si="0"/>
        <v>0</v>
      </c>
      <c r="J2" s="53">
        <f t="shared" si="0"/>
        <v>0</v>
      </c>
      <c r="K2" s="53">
        <f t="shared" si="0"/>
        <v>0</v>
      </c>
      <c r="L2" s="53">
        <f t="shared" si="0"/>
        <v>0</v>
      </c>
      <c r="M2" s="53">
        <f t="shared" si="0"/>
        <v>0</v>
      </c>
      <c r="N2" s="53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</row>
    <row r="3" spans="1:101" s="49" customFormat="1" ht="12.75">
      <c r="A3" s="51" t="s">
        <v>367</v>
      </c>
      <c r="B3" s="53"/>
      <c r="C3" s="9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</row>
    <row r="4" spans="1:101" ht="26.25" customHeight="1">
      <c r="A4" s="51" t="s">
        <v>368</v>
      </c>
      <c r="B4" s="52">
        <f>+'P y G'!B3+'P y G'!B3*21%-CUESTIONARIO!C231</f>
        <v>0</v>
      </c>
      <c r="C4" s="52">
        <f>+'P y G'!C3+'P y G'!C3*21%-CUESTIONARIO!C232</f>
        <v>0</v>
      </c>
      <c r="D4" s="52">
        <f>+'P y G'!D3+'P y G'!D3*21%-CUESTIONARIO!C233</f>
        <v>0</v>
      </c>
      <c r="E4" s="52">
        <f>+'P y G'!E3+'P y G'!E3*21%-CUESTIONARIO!C234</f>
        <v>0</v>
      </c>
      <c r="F4" s="52">
        <f>+'P y G'!F3+'P y G'!F3*21%-CUESTIONARIO!C235</f>
        <v>0</v>
      </c>
      <c r="G4" s="52">
        <f>+'P y G'!G3+'P y G'!G3*21%-CUESTIONARIO!C236</f>
        <v>0</v>
      </c>
      <c r="H4" s="52">
        <f>+'P y G'!H3+'P y G'!H3*21%-CUESTIONARIO!C237</f>
        <v>0</v>
      </c>
      <c r="I4" s="52">
        <f>+'P y G'!I3+'P y G'!I3*21%-CUESTIONARIO!C238</f>
        <v>0</v>
      </c>
      <c r="J4" s="52">
        <f>+'P y G'!J3+'P y G'!J3*21%-CUESTIONARIO!C239</f>
        <v>0</v>
      </c>
      <c r="K4" s="52">
        <f>+'P y G'!K3+'P y G'!K3*21%-CUESTIONARIO!C240</f>
        <v>0</v>
      </c>
      <c r="L4" s="52">
        <f>+'P y G'!L3+'P y G'!L3*21%-CUESTIONARIO!C241</f>
        <v>0</v>
      </c>
      <c r="M4" s="52">
        <f>+'P y G'!M3+'P y G'!M3*21%-CUESTIONARIO!C242</f>
        <v>0</v>
      </c>
      <c r="N4" s="52">
        <f>SUM(B4:M4)</f>
        <v>0</v>
      </c>
      <c r="O4" s="93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</row>
    <row r="5" spans="1:101" ht="12.75">
      <c r="A5" s="51" t="s">
        <v>125</v>
      </c>
      <c r="B5" s="52">
        <f>+'P y G'!B18</f>
        <v>0</v>
      </c>
      <c r="C5" s="52">
        <f>+'P y G'!C18</f>
        <v>0</v>
      </c>
      <c r="D5" s="52">
        <f>+'P y G'!D18</f>
        <v>0</v>
      </c>
      <c r="E5" s="52">
        <f>+'P y G'!E18</f>
        <v>0</v>
      </c>
      <c r="F5" s="52">
        <f>+'P y G'!F18</f>
        <v>0</v>
      </c>
      <c r="G5" s="52">
        <f>+'P y G'!G18</f>
        <v>0</v>
      </c>
      <c r="H5" s="52">
        <f>+'P y G'!H18</f>
        <v>0</v>
      </c>
      <c r="I5" s="52">
        <f>+'P y G'!I18</f>
        <v>0</v>
      </c>
      <c r="J5" s="52">
        <f>+'P y G'!J18</f>
        <v>0</v>
      </c>
      <c r="K5" s="52">
        <f>+'P y G'!K18</f>
        <v>0</v>
      </c>
      <c r="L5" s="52">
        <f>+'P y G'!L18</f>
        <v>0</v>
      </c>
      <c r="M5" s="52">
        <f>+'P y G'!M18</f>
        <v>0</v>
      </c>
      <c r="N5" s="52">
        <f>SUM(B5:M5)</f>
        <v>0</v>
      </c>
      <c r="O5" s="94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</row>
    <row r="6" spans="1:101" ht="12.75">
      <c r="A6" s="51" t="s">
        <v>369</v>
      </c>
      <c r="B6" s="52">
        <f>+CUESTIONARIO!G15</f>
        <v>0</v>
      </c>
      <c r="C6" s="52"/>
      <c r="D6" s="52"/>
      <c r="E6" s="52"/>
      <c r="F6" s="52"/>
      <c r="G6" s="52"/>
      <c r="H6" s="52"/>
      <c r="I6" s="120"/>
      <c r="J6" s="52"/>
      <c r="K6" s="52"/>
      <c r="L6" s="52"/>
      <c r="M6" s="52"/>
      <c r="N6" s="52">
        <f>SUM(B6:M6)</f>
        <v>0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</row>
    <row r="7" spans="1:101" ht="12.75">
      <c r="A7" s="51" t="s">
        <v>370</v>
      </c>
      <c r="B7" s="52">
        <f>+CUESTIONARIO!F20</f>
        <v>0</v>
      </c>
      <c r="C7" s="52"/>
      <c r="D7" s="52"/>
      <c r="E7" s="52"/>
      <c r="F7" s="52"/>
      <c r="G7" s="52"/>
      <c r="H7" s="52"/>
      <c r="I7" s="120"/>
      <c r="J7" s="52"/>
      <c r="K7" s="52"/>
      <c r="L7" s="52"/>
      <c r="M7" s="52"/>
      <c r="N7" s="52">
        <f>SUM(B7:M7)</f>
        <v>0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</row>
    <row r="8" spans="1:101" s="96" customFormat="1" ht="12.75">
      <c r="A8" s="55" t="s">
        <v>371</v>
      </c>
      <c r="B8" s="56">
        <f aca="true" t="shared" si="1" ref="B8:N8">SUM(B2:B7)</f>
        <v>0</v>
      </c>
      <c r="C8" s="56">
        <f t="shared" si="1"/>
        <v>0</v>
      </c>
      <c r="D8" s="56">
        <f t="shared" si="1"/>
        <v>0</v>
      </c>
      <c r="E8" s="56">
        <f t="shared" si="1"/>
        <v>0</v>
      </c>
      <c r="F8" s="56">
        <f t="shared" si="1"/>
        <v>0</v>
      </c>
      <c r="G8" s="56">
        <f t="shared" si="1"/>
        <v>0</v>
      </c>
      <c r="H8" s="56">
        <f t="shared" si="1"/>
        <v>0</v>
      </c>
      <c r="I8" s="56">
        <f t="shared" si="1"/>
        <v>0</v>
      </c>
      <c r="J8" s="56">
        <f t="shared" si="1"/>
        <v>0</v>
      </c>
      <c r="K8" s="56">
        <f t="shared" si="1"/>
        <v>0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</row>
    <row r="9" spans="1:101" s="49" customFormat="1" ht="12.75">
      <c r="A9" s="97" t="s">
        <v>372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</row>
    <row r="10" spans="1:101" ht="12.75">
      <c r="A10" s="51" t="s">
        <v>126</v>
      </c>
      <c r="B10" s="52">
        <f>+SUM(B11:B14)</f>
        <v>0</v>
      </c>
      <c r="C10" s="52">
        <f aca="true" t="shared" si="2" ref="C10:M10">+SUM(C11:C14)</f>
        <v>0</v>
      </c>
      <c r="D10" s="52">
        <f t="shared" si="2"/>
        <v>0</v>
      </c>
      <c r="E10" s="52">
        <f t="shared" si="2"/>
        <v>0</v>
      </c>
      <c r="F10" s="52">
        <f t="shared" si="2"/>
        <v>0</v>
      </c>
      <c r="G10" s="52">
        <f t="shared" si="2"/>
        <v>0</v>
      </c>
      <c r="H10" s="52">
        <f t="shared" si="2"/>
        <v>0</v>
      </c>
      <c r="I10" s="52">
        <f t="shared" si="2"/>
        <v>0</v>
      </c>
      <c r="J10" s="52">
        <f t="shared" si="2"/>
        <v>0</v>
      </c>
      <c r="K10" s="52">
        <f t="shared" si="2"/>
        <v>0</v>
      </c>
      <c r="L10" s="52">
        <f t="shared" si="2"/>
        <v>0</v>
      </c>
      <c r="M10" s="52">
        <f t="shared" si="2"/>
        <v>0</v>
      </c>
      <c r="N10" s="52">
        <f aca="true" t="shared" si="3" ref="N10:N21">SUM(B10:M10)</f>
        <v>0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</row>
    <row r="11" spans="1:101" ht="12.75">
      <c r="A11" s="51" t="s">
        <v>127</v>
      </c>
      <c r="B11" s="52">
        <f>+CUESTIONARIO!I193</f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>
        <f t="shared" si="3"/>
        <v>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</row>
    <row r="12" spans="1:101" ht="12.75">
      <c r="A12" s="51" t="s">
        <v>128</v>
      </c>
      <c r="B12" s="52">
        <f>+CUESTIONARIO!I195/2</f>
        <v>0</v>
      </c>
      <c r="C12" s="52"/>
      <c r="D12" s="52"/>
      <c r="E12" s="52"/>
      <c r="F12" s="52"/>
      <c r="G12" s="52"/>
      <c r="H12" s="52">
        <f>+$B$12</f>
        <v>0</v>
      </c>
      <c r="I12" s="52"/>
      <c r="J12" s="52"/>
      <c r="K12" s="52"/>
      <c r="L12" s="52"/>
      <c r="M12" s="52"/>
      <c r="N12" s="52">
        <f t="shared" si="3"/>
        <v>0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</row>
    <row r="13" spans="1:101" ht="17.25" customHeight="1">
      <c r="A13" s="51" t="s">
        <v>129</v>
      </c>
      <c r="B13" s="52">
        <f>+CUESTIONARIO!I197/2</f>
        <v>0</v>
      </c>
      <c r="C13" s="52"/>
      <c r="D13" s="52"/>
      <c r="E13" s="52"/>
      <c r="F13" s="52"/>
      <c r="G13" s="52"/>
      <c r="H13" s="52">
        <f>+$B$13</f>
        <v>0</v>
      </c>
      <c r="I13" s="52"/>
      <c r="J13" s="52"/>
      <c r="K13" s="52"/>
      <c r="L13" s="52"/>
      <c r="M13" s="52"/>
      <c r="N13" s="52">
        <f t="shared" si="3"/>
        <v>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</row>
    <row r="14" spans="1:101" ht="12.75">
      <c r="A14" s="51" t="s">
        <v>130</v>
      </c>
      <c r="B14" s="52">
        <f>+CUESTIONARIO!I199</f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>
        <f t="shared" si="3"/>
        <v>0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</row>
    <row r="15" spans="1:101" ht="29.25" customHeight="1">
      <c r="A15" s="51" t="s">
        <v>373</v>
      </c>
      <c r="B15" s="52">
        <f>+'P y G'!B5+'P y G'!B5*21%-CUESTIONARIO!C251</f>
        <v>0</v>
      </c>
      <c r="C15" s="52">
        <f>+'P y G'!C5+'P y G'!C5*21%-CUESTIONARIO!C252</f>
        <v>0</v>
      </c>
      <c r="D15" s="52">
        <f>+'P y G'!D5+'P y G'!D5*21%-CUESTIONARIO!C253</f>
        <v>0</v>
      </c>
      <c r="E15" s="52">
        <f>+'P y G'!E5+'P y G'!E5*21%-CUESTIONARIO!C254</f>
        <v>0</v>
      </c>
      <c r="F15" s="52">
        <f>+'P y G'!F5+'P y G'!F5*21%-CUESTIONARIO!C255</f>
        <v>0</v>
      </c>
      <c r="G15" s="52">
        <f>+'P y G'!G5+'P y G'!G5*21%-CUESTIONARIO!C256</f>
        <v>0</v>
      </c>
      <c r="H15" s="52">
        <f>+'P y G'!H5+'P y G'!H5*21%-CUESTIONARIO!C257</f>
        <v>0</v>
      </c>
      <c r="I15" s="52">
        <f>+'P y G'!I5+'P y G'!I5*21%-CUESTIONARIO!C258</f>
        <v>0</v>
      </c>
      <c r="J15" s="52">
        <f>+'P y G'!J5+'P y G'!J5*21%-CUESTIONARIO!C259</f>
        <v>0</v>
      </c>
      <c r="K15" s="52">
        <f>+'P y G'!K5+'P y G'!K5*21%-CUESTIONARIO!C260</f>
        <v>0</v>
      </c>
      <c r="L15" s="52">
        <f>+'P y G'!L5+'P y G'!L5*21%-CUESTIONARIO!C261</f>
        <v>0</v>
      </c>
      <c r="M15" s="52">
        <f>+'P y G'!M5+'P y G'!M5*21%-CUESTIONARIO!C262</f>
        <v>0</v>
      </c>
      <c r="N15" s="52">
        <f t="shared" si="3"/>
        <v>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</row>
    <row r="16" spans="1:101" ht="12.75">
      <c r="A16" s="51" t="s">
        <v>374</v>
      </c>
      <c r="B16" s="52">
        <f>+CUESTIONARIO!D82</f>
        <v>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>
        <f t="shared" si="3"/>
        <v>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</row>
    <row r="17" spans="1:101" ht="12.75">
      <c r="A17" s="51" t="s">
        <v>375</v>
      </c>
      <c r="B17" s="52">
        <f>+SUM(B18:B21)</f>
        <v>0</v>
      </c>
      <c r="C17" s="52">
        <f aca="true" t="shared" si="4" ref="C17:M17">+SUM(C18:C21)</f>
        <v>0</v>
      </c>
      <c r="D17" s="52">
        <f t="shared" si="4"/>
        <v>0</v>
      </c>
      <c r="E17" s="52">
        <f t="shared" si="4"/>
        <v>0</v>
      </c>
      <c r="F17" s="52">
        <f t="shared" si="4"/>
        <v>0</v>
      </c>
      <c r="G17" s="52">
        <f t="shared" si="4"/>
        <v>0</v>
      </c>
      <c r="H17" s="52">
        <f t="shared" si="4"/>
        <v>0</v>
      </c>
      <c r="I17" s="52">
        <f t="shared" si="4"/>
        <v>0</v>
      </c>
      <c r="J17" s="52">
        <f t="shared" si="4"/>
        <v>0</v>
      </c>
      <c r="K17" s="52">
        <f t="shared" si="4"/>
        <v>0</v>
      </c>
      <c r="L17" s="52">
        <f t="shared" si="4"/>
        <v>0</v>
      </c>
      <c r="M17" s="52">
        <f t="shared" si="4"/>
        <v>0</v>
      </c>
      <c r="N17" s="52">
        <f t="shared" si="3"/>
        <v>0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</row>
    <row r="18" spans="1:101" ht="27" customHeight="1">
      <c r="A18" s="51" t="s">
        <v>376</v>
      </c>
      <c r="B18" s="52">
        <f>+CUESTIONARIO!$C$100/14-CUESTIONARIO!$E$100/12-(CUESTIONARIO!$C$100/14)*CUESTIONARIO!$F$100+CUESTIONARIO!$C$108/12</f>
        <v>0</v>
      </c>
      <c r="C18" s="52">
        <f>+CUESTIONARIO!$C$100/14-CUESTIONARIO!$E$100/12-(CUESTIONARIO!$C$100/14)*CUESTIONARIO!$F$100+CUESTIONARIO!$C$108/12</f>
        <v>0</v>
      </c>
      <c r="D18" s="52">
        <f>+CUESTIONARIO!$C$100/14-CUESTIONARIO!$E$100/12-(CUESTIONARIO!$C$100/14)*CUESTIONARIO!$F$100+CUESTIONARIO!$C$108/12</f>
        <v>0</v>
      </c>
      <c r="E18" s="52">
        <f>+CUESTIONARIO!$C$100/14-CUESTIONARIO!$E$100/12-(CUESTIONARIO!$C$100/14)*CUESTIONARIO!$F$100+CUESTIONARIO!$C$108/12</f>
        <v>0</v>
      </c>
      <c r="F18" s="52">
        <f>+CUESTIONARIO!$C$100/14-CUESTIONARIO!$E$100/12-(CUESTIONARIO!$C$100/14)*CUESTIONARIO!$F$100+CUESTIONARIO!$C$108/12</f>
        <v>0</v>
      </c>
      <c r="G18" s="52">
        <f>+(CUESTIONARIO!$C$100/14)*2-CUESTIONARIO!$E$100/12-(CUESTIONARIO!$C$100/14)*CUESTIONARIO!$F$100+CUESTIONARIO!$C$108/12</f>
        <v>0</v>
      </c>
      <c r="H18" s="52">
        <f>+CUESTIONARIO!$C$100/14-CUESTIONARIO!$E$100/12-(CUESTIONARIO!$C$100/14)*CUESTIONARIO!$F$100+CUESTIONARIO!$C$108/12</f>
        <v>0</v>
      </c>
      <c r="I18" s="52">
        <f>+CUESTIONARIO!$C$100/14-CUESTIONARIO!$E$100/12-(CUESTIONARIO!$C$100/14)*CUESTIONARIO!$F$100+CUESTIONARIO!$C$108/12</f>
        <v>0</v>
      </c>
      <c r="J18" s="52">
        <f>+CUESTIONARIO!$C$100/14-CUESTIONARIO!$E$100/12-(CUESTIONARIO!$C$100/14)*CUESTIONARIO!$F$100+CUESTIONARIO!$C$108/12</f>
        <v>0</v>
      </c>
      <c r="K18" s="52">
        <f>+CUESTIONARIO!$C$100/14-CUESTIONARIO!$E$100/12-(CUESTIONARIO!$C$100/14)*CUESTIONARIO!$F$100+CUESTIONARIO!$C$108/12</f>
        <v>0</v>
      </c>
      <c r="L18" s="52">
        <f>+CUESTIONARIO!$C$100/14-CUESTIONARIO!$E$100/12-(CUESTIONARIO!$C$100/14)*CUESTIONARIO!$F$100+CUESTIONARIO!$C$108/12</f>
        <v>0</v>
      </c>
      <c r="M18" s="52">
        <f>+G18</f>
        <v>0</v>
      </c>
      <c r="N18" s="52">
        <f t="shared" si="3"/>
        <v>0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</row>
    <row r="19" spans="1:101" ht="27" customHeight="1">
      <c r="A19" s="51" t="s">
        <v>377</v>
      </c>
      <c r="B19" s="52">
        <v>0</v>
      </c>
      <c r="C19" s="52">
        <v>0</v>
      </c>
      <c r="D19" s="52">
        <v>0</v>
      </c>
      <c r="E19" s="52">
        <f>+(CUESTIONARIO!$C$100/14*CUESTIONARIO!$F$100)*3</f>
        <v>0</v>
      </c>
      <c r="F19" s="52">
        <v>0</v>
      </c>
      <c r="G19" s="52">
        <v>0</v>
      </c>
      <c r="H19" s="52">
        <f>+E19</f>
        <v>0</v>
      </c>
      <c r="I19" s="52">
        <v>0</v>
      </c>
      <c r="J19" s="52">
        <v>0</v>
      </c>
      <c r="K19" s="52">
        <f>+E19</f>
        <v>0</v>
      </c>
      <c r="L19" s="52">
        <v>0</v>
      </c>
      <c r="M19" s="52">
        <v>0</v>
      </c>
      <c r="N19" s="52">
        <f t="shared" si="3"/>
        <v>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</row>
    <row r="20" spans="1:101" ht="32.25" customHeight="1">
      <c r="A20" s="51" t="s">
        <v>378</v>
      </c>
      <c r="B20" s="52">
        <f>CUESTIONARIO!$D$100/12+CUESTIONARIO!$D$108/12</f>
        <v>0</v>
      </c>
      <c r="C20" s="52">
        <f>CUESTIONARIO!$D$100/12+CUESTIONARIO!$D$108/12</f>
        <v>0</v>
      </c>
      <c r="D20" s="52">
        <f>CUESTIONARIO!$D$100/12+CUESTIONARIO!$D$108/12</f>
        <v>0</v>
      </c>
      <c r="E20" s="52">
        <f>CUESTIONARIO!$D$100/12+CUESTIONARIO!$D$108/12</f>
        <v>0</v>
      </c>
      <c r="F20" s="52">
        <f>CUESTIONARIO!$D$100/12+CUESTIONARIO!$D$108/12</f>
        <v>0</v>
      </c>
      <c r="G20" s="52">
        <f>CUESTIONARIO!$D$100/12+CUESTIONARIO!$D$108/12</f>
        <v>0</v>
      </c>
      <c r="H20" s="52">
        <f>CUESTIONARIO!$D$100/12+CUESTIONARIO!$D$108/12</f>
        <v>0</v>
      </c>
      <c r="I20" s="52">
        <f>CUESTIONARIO!$D$100/12+CUESTIONARIO!$D$108/12</f>
        <v>0</v>
      </c>
      <c r="J20" s="52">
        <f>CUESTIONARIO!$D$100/12+CUESTIONARIO!$D$108/12</f>
        <v>0</v>
      </c>
      <c r="K20" s="52">
        <f>CUESTIONARIO!$D$100/12+CUESTIONARIO!$D$108/12</f>
        <v>0</v>
      </c>
      <c r="L20" s="52">
        <f>CUESTIONARIO!$D$100/12+CUESTIONARIO!$D$108/12</f>
        <v>0</v>
      </c>
      <c r="M20" s="52">
        <f>CUESTIONARIO!$D$100/12+CUESTIONARIO!$D$108/12</f>
        <v>0</v>
      </c>
      <c r="N20" s="52">
        <f t="shared" si="3"/>
        <v>0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</row>
    <row r="21" spans="1:101" ht="28.5" customHeight="1">
      <c r="A21" s="51" t="s">
        <v>379</v>
      </c>
      <c r="B21" s="52">
        <f>+CUESTIONARIO!$E$100/12</f>
        <v>0</v>
      </c>
      <c r="C21" s="52">
        <f>+CUESTIONARIO!$E$100/12</f>
        <v>0</v>
      </c>
      <c r="D21" s="52">
        <f>+CUESTIONARIO!$E$100/12</f>
        <v>0</v>
      </c>
      <c r="E21" s="52">
        <f>+CUESTIONARIO!$E$100/12</f>
        <v>0</v>
      </c>
      <c r="F21" s="52">
        <f>+CUESTIONARIO!$E$100/12</f>
        <v>0</v>
      </c>
      <c r="G21" s="52">
        <f>+CUESTIONARIO!$E$100/12</f>
        <v>0</v>
      </c>
      <c r="H21" s="52">
        <f>+CUESTIONARIO!$E$100/12</f>
        <v>0</v>
      </c>
      <c r="I21" s="52">
        <f>+CUESTIONARIO!$E$100/12</f>
        <v>0</v>
      </c>
      <c r="J21" s="52">
        <f>+CUESTIONARIO!$E$100/12</f>
        <v>0</v>
      </c>
      <c r="K21" s="52">
        <f>+CUESTIONARIO!$E$100/12</f>
        <v>0</v>
      </c>
      <c r="L21" s="52">
        <f>+CUESTIONARIO!$E$100/12</f>
        <v>0</v>
      </c>
      <c r="M21" s="52">
        <f>+CUESTIONARIO!$E$100/12</f>
        <v>0</v>
      </c>
      <c r="N21" s="52">
        <f t="shared" si="3"/>
        <v>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</row>
    <row r="22" spans="1:101" ht="12.75">
      <c r="A22" s="99" t="s">
        <v>380</v>
      </c>
      <c r="B22" s="52">
        <f>+'P y G'!B7</f>
        <v>0</v>
      </c>
      <c r="C22" s="52">
        <f>+'P y G'!C7</f>
        <v>0</v>
      </c>
      <c r="D22" s="52">
        <f>+'P y G'!D7</f>
        <v>0</v>
      </c>
      <c r="E22" s="52">
        <f>+'P y G'!E7</f>
        <v>0</v>
      </c>
      <c r="F22" s="52">
        <f>+'P y G'!F7</f>
        <v>0</v>
      </c>
      <c r="G22" s="52">
        <f>+'P y G'!G7</f>
        <v>0</v>
      </c>
      <c r="H22" s="52">
        <f>+'P y G'!H7</f>
        <v>0</v>
      </c>
      <c r="I22" s="52">
        <f>+'P y G'!I7</f>
        <v>0</v>
      </c>
      <c r="J22" s="52">
        <f>+'P y G'!J7</f>
        <v>0</v>
      </c>
      <c r="K22" s="52">
        <f>+'P y G'!K7</f>
        <v>0</v>
      </c>
      <c r="L22" s="52">
        <f>+'P y G'!L7</f>
        <v>0</v>
      </c>
      <c r="M22" s="52">
        <f>+'P y G'!M7</f>
        <v>0</v>
      </c>
      <c r="N22" s="52">
        <f>SUM(B22:M22)</f>
        <v>0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</row>
    <row r="23" spans="1:101" ht="12.75">
      <c r="A23" s="51" t="s">
        <v>131</v>
      </c>
      <c r="B23" s="52">
        <f>IF(CUESTIONARIO!F20="",0,IPMT(CUESTIONARIO!$F$21/12,1,CUESTIONARIO!$F$22*12,-CUESTIONARIO!$F$20))</f>
        <v>0</v>
      </c>
      <c r="C23" s="52">
        <f>IF(CUESTIONARIO!F20="",0,IPMT(CUESTIONARIO!$F$21/12,2,CUESTIONARIO!$F$22*12,-CUESTIONARIO!$F$20))</f>
        <v>0</v>
      </c>
      <c r="D23" s="52">
        <f>IF(CUESTIONARIO!F20="",0,IPMT(CUESTIONARIO!$F$21/12,3,CUESTIONARIO!$F$22*12,-CUESTIONARIO!$F$20))</f>
        <v>0</v>
      </c>
      <c r="E23" s="52">
        <f>IF(CUESTIONARIO!F20="",0,IPMT(CUESTIONARIO!$F$21/12,4,CUESTIONARIO!$F$22*12,-CUESTIONARIO!$F$20))</f>
        <v>0</v>
      </c>
      <c r="F23" s="52">
        <f>IF(CUESTIONARIO!F20="",0,IPMT(CUESTIONARIO!$F$21/12,5,CUESTIONARIO!$F$22*12,-CUESTIONARIO!$F$20))</f>
        <v>0</v>
      </c>
      <c r="G23" s="52">
        <f>IF(CUESTIONARIO!F20="",0,IPMT(CUESTIONARIO!$F$21/12,6,CUESTIONARIO!$F$22*12,-CUESTIONARIO!$F$20))</f>
        <v>0</v>
      </c>
      <c r="H23" s="52">
        <f>IF(CUESTIONARIO!F20="",0,IPMT(CUESTIONARIO!$F$21/12,7,CUESTIONARIO!$F$22*12,-CUESTIONARIO!$F$20))</f>
        <v>0</v>
      </c>
      <c r="I23" s="52">
        <f>IF(CUESTIONARIO!F20="",0,IPMT(CUESTIONARIO!$F$21/12,8,CUESTIONARIO!$F$22*12,-CUESTIONARIO!$F$20))</f>
        <v>0</v>
      </c>
      <c r="J23" s="52">
        <f>IF(CUESTIONARIO!F20="",0,IPMT(CUESTIONARIO!$F$21/12,9,CUESTIONARIO!$F$22*12,-CUESTIONARIO!$F$20))</f>
        <v>0</v>
      </c>
      <c r="K23" s="52">
        <f>IF(CUESTIONARIO!F20="",0,IPMT(CUESTIONARIO!$F$21/12,10,CUESTIONARIO!$F$22*12,-CUESTIONARIO!$F$20))</f>
        <v>0</v>
      </c>
      <c r="L23" s="52">
        <f>IF(CUESTIONARIO!F20="",0,IPMT(CUESTIONARIO!$F$21/12,11,CUESTIONARIO!$F$22*12,-CUESTIONARIO!$F$20))</f>
        <v>0</v>
      </c>
      <c r="M23" s="52">
        <f>IF(CUESTIONARIO!F20="",0,IPMT(CUESTIONARIO!$F$21/12,12,CUESTIONARIO!$F$22*12,-CUESTIONARIO!$F$20))</f>
        <v>0</v>
      </c>
      <c r="N23" s="52">
        <f>SUM(B23:M23)</f>
        <v>0</v>
      </c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</row>
    <row r="24" spans="1:101" ht="12.75">
      <c r="A24" s="51" t="s">
        <v>132</v>
      </c>
      <c r="B24" s="52">
        <f>+'P y G'!B19</f>
        <v>0</v>
      </c>
      <c r="C24" s="52">
        <f>+'P y G'!C19</f>
        <v>0</v>
      </c>
      <c r="D24" s="52">
        <f>+'P y G'!D19</f>
        <v>0</v>
      </c>
      <c r="E24" s="52">
        <f>+'P y G'!E19</f>
        <v>0</v>
      </c>
      <c r="F24" s="52">
        <f>+'P y G'!F19</f>
        <v>0</v>
      </c>
      <c r="G24" s="52">
        <f>+'P y G'!G19</f>
        <v>0</v>
      </c>
      <c r="H24" s="52">
        <f>+'P y G'!H19</f>
        <v>0</v>
      </c>
      <c r="I24" s="52">
        <f>+'P y G'!I19</f>
        <v>0</v>
      </c>
      <c r="J24" s="52">
        <f>+'P y G'!J19</f>
        <v>0</v>
      </c>
      <c r="K24" s="52">
        <f>+'P y G'!K19</f>
        <v>0</v>
      </c>
      <c r="L24" s="52">
        <f>+'P y G'!L19</f>
        <v>0</v>
      </c>
      <c r="M24" s="52">
        <f>+'P y G'!M19</f>
        <v>0</v>
      </c>
      <c r="N24" s="52">
        <f>SUM(B24:M24)</f>
        <v>0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</row>
    <row r="25" spans="1:101" ht="12.75">
      <c r="A25" s="51" t="s">
        <v>381</v>
      </c>
      <c r="B25" s="52">
        <f>IF(CUESTIONARIO!F20="",0,PPMT(CUESTIONARIO!$F$21/12,1,CUESTIONARIO!$F$22*12,-CUESTIONARIO!$F$20))</f>
        <v>0</v>
      </c>
      <c r="C25" s="52">
        <f>IF(CUESTIONARIO!F20="",0,PPMT(CUESTIONARIO!$F$21/12,2,CUESTIONARIO!$F$22*12,-CUESTIONARIO!$F$20))</f>
        <v>0</v>
      </c>
      <c r="D25" s="52">
        <f>IF(CUESTIONARIO!F20="",0,PPMT(CUESTIONARIO!$F$21/12,3,CUESTIONARIO!$F$22*12,-CUESTIONARIO!$F$20))</f>
        <v>0</v>
      </c>
      <c r="E25" s="52">
        <f>IF(CUESTIONARIO!F20="",0,PPMT(CUESTIONARIO!$F$21/12,4,CUESTIONARIO!$F$22*12,-CUESTIONARIO!$F$20))</f>
        <v>0</v>
      </c>
      <c r="F25" s="52">
        <f>IF(CUESTIONARIO!F20="",0,PPMT(CUESTIONARIO!$F$21/12,5,CUESTIONARIO!$F$22*12,-CUESTIONARIO!$F$20))</f>
        <v>0</v>
      </c>
      <c r="G25" s="52">
        <f>IF(CUESTIONARIO!F20="",0,PPMT(CUESTIONARIO!$F$21/12,6,CUESTIONARIO!$F$22*12,-CUESTIONARIO!$F$20))</f>
        <v>0</v>
      </c>
      <c r="H25" s="52">
        <f>IF(CUESTIONARIO!F20="",0,PPMT(CUESTIONARIO!$F$21/12,7,CUESTIONARIO!$F$22*12,-CUESTIONARIO!$F$20))</f>
        <v>0</v>
      </c>
      <c r="I25" s="52">
        <f>IF(CUESTIONARIO!F20="",0,PPMT(CUESTIONARIO!$F$21/12,8,CUESTIONARIO!$F$22*12,-CUESTIONARIO!$F$20))</f>
        <v>0</v>
      </c>
      <c r="J25" s="52">
        <f>IF(CUESTIONARIO!F20="",0,PPMT(CUESTIONARIO!$F$21/12,9,CUESTIONARIO!$F$22*12,-CUESTIONARIO!$F$20))</f>
        <v>0</v>
      </c>
      <c r="K25" s="52">
        <f>IF(CUESTIONARIO!F20="",0,PPMT(CUESTIONARIO!$F$21/12,10,CUESTIONARIO!$F$22*12,-CUESTIONARIO!$F$20))</f>
        <v>0</v>
      </c>
      <c r="L25" s="52">
        <f>IF(CUESTIONARIO!F20="",0,PPMT(CUESTIONARIO!$F$21/12,11,CUESTIONARIO!$F$22*12,-CUESTIONARIO!$F$20))</f>
        <v>0</v>
      </c>
      <c r="M25" s="52">
        <f>IF(CUESTIONARIO!F20="",0,PPMT(CUESTIONARIO!$F$21/12,12,CUESTIONARIO!$F$22*12,-CUESTIONARIO!$F$20))</f>
        <v>0</v>
      </c>
      <c r="N25" s="52">
        <f>SUM(B25:M25)</f>
        <v>0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</row>
    <row r="26" spans="1:101" s="96" customFormat="1" ht="12.75">
      <c r="A26" s="55" t="s">
        <v>382</v>
      </c>
      <c r="B26" s="56">
        <f>+B10+SUM(B15:B17)+SUM(B22:B25)</f>
        <v>0</v>
      </c>
      <c r="C26" s="56">
        <f aca="true" t="shared" si="5" ref="C26:M26">+C10+SUM(C15:C17)+SUM(C22:C25)</f>
        <v>0</v>
      </c>
      <c r="D26" s="56">
        <f t="shared" si="5"/>
        <v>0</v>
      </c>
      <c r="E26" s="56">
        <f t="shared" si="5"/>
        <v>0</v>
      </c>
      <c r="F26" s="56">
        <f t="shared" si="5"/>
        <v>0</v>
      </c>
      <c r="G26" s="56">
        <f t="shared" si="5"/>
        <v>0</v>
      </c>
      <c r="H26" s="56">
        <f t="shared" si="5"/>
        <v>0</v>
      </c>
      <c r="I26" s="56">
        <f t="shared" si="5"/>
        <v>0</v>
      </c>
      <c r="J26" s="56">
        <f t="shared" si="5"/>
        <v>0</v>
      </c>
      <c r="K26" s="56">
        <f t="shared" si="5"/>
        <v>0</v>
      </c>
      <c r="L26" s="56">
        <f t="shared" si="5"/>
        <v>0</v>
      </c>
      <c r="M26" s="56">
        <f t="shared" si="5"/>
        <v>0</v>
      </c>
      <c r="N26" s="56">
        <f>+N10+SUM(N15:N17)+SUM(N22:N25)</f>
        <v>0</v>
      </c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</row>
    <row r="27" spans="1:101" ht="12.75">
      <c r="A27" s="58" t="s">
        <v>383</v>
      </c>
      <c r="B27" s="59">
        <f aca="true" t="shared" si="6" ref="B27:M27">+B8-B26</f>
        <v>0</v>
      </c>
      <c r="C27" s="59">
        <f t="shared" si="6"/>
        <v>0</v>
      </c>
      <c r="D27" s="59">
        <f t="shared" si="6"/>
        <v>0</v>
      </c>
      <c r="E27" s="59">
        <f t="shared" si="6"/>
        <v>0</v>
      </c>
      <c r="F27" s="59">
        <f t="shared" si="6"/>
        <v>0</v>
      </c>
      <c r="G27" s="59">
        <f t="shared" si="6"/>
        <v>0</v>
      </c>
      <c r="H27" s="59">
        <f t="shared" si="6"/>
        <v>0</v>
      </c>
      <c r="I27" s="59">
        <f t="shared" si="6"/>
        <v>0</v>
      </c>
      <c r="J27" s="59">
        <f t="shared" si="6"/>
        <v>0</v>
      </c>
      <c r="K27" s="59">
        <f t="shared" si="6"/>
        <v>0</v>
      </c>
      <c r="L27" s="59">
        <f t="shared" si="6"/>
        <v>0</v>
      </c>
      <c r="M27" s="59">
        <f t="shared" si="6"/>
        <v>0</v>
      </c>
      <c r="N27" s="59">
        <f>N8-N26</f>
        <v>0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</row>
    <row r="29" spans="1:9" ht="28.5" customHeight="1">
      <c r="A29" s="102"/>
      <c r="B29" s="103"/>
      <c r="C29" s="102"/>
      <c r="D29" s="102"/>
      <c r="E29" s="102"/>
      <c r="F29" s="102"/>
      <c r="G29" s="102"/>
      <c r="H29" s="102"/>
      <c r="I29" s="102"/>
    </row>
    <row r="30" spans="1:9" ht="12.75">
      <c r="A30" s="102"/>
      <c r="B30" s="103"/>
      <c r="C30" s="102"/>
      <c r="D30" s="102"/>
      <c r="E30" s="102"/>
      <c r="F30" s="102"/>
      <c r="G30" s="102"/>
      <c r="H30" s="102"/>
      <c r="I30" s="102"/>
    </row>
  </sheetData>
  <sheetProtection/>
  <hyperlinks>
    <hyperlink ref="A14" location="Explicaciones!A298" display="4. Inmovilizado financiero"/>
    <hyperlink ref="A13" location="Explicaciones!A280" display="3. Inmovilizado Material"/>
    <hyperlink ref="A12" location="Explicaciones!A261" display="2. Inmovilizado Inmaterial"/>
    <hyperlink ref="A11" location="Explicaciones!A245" display="1. Gastos establecimiento"/>
    <hyperlink ref="A10" location="Explicaciones!A233" display="INMOVILIZADO"/>
    <hyperlink ref="A25" location="Explicaciones!A221" display="DEVOLUCIÓN DEL PRÉSTAMO"/>
    <hyperlink ref="A24" location="Explicaciones!A215" display="GASTOS EXTRAORDINARIOS"/>
    <hyperlink ref="A23" location="Explicaciones!A209" display="GASTOS FINANCIEROS"/>
    <hyperlink ref="A22" location="Explicaciones!A203" display="OTROS GASTOS"/>
    <hyperlink ref="A21" location="Explicaciones!A196" display="4. Ingreso cotización Seg. Soc. por parte trabajador"/>
    <hyperlink ref="A20" location="Explicaciones!A188" display="3. Pago cotización Seg. Soc. por parte de la empresa"/>
    <hyperlink ref="A19" location="Explicaciones!A180" display="2. Ingreso en Hacienda de retenciones a trabajadores"/>
    <hyperlink ref="A18" location="Explicaciones!A173" display="1. Pago nóminas a trabajadores + sueldo emprendedor"/>
    <hyperlink ref="A17" location="Explicaciones!A167" display="GASTOS PERSONAL"/>
    <hyperlink ref="A16" location="Explicaciones!A160" display="STOCK SEGURIDAD"/>
    <hyperlink ref="A15" location="Explicaciones!A153" display="SALIDA DE CAJA POR APROV / COMPRAS"/>
    <hyperlink ref="A9" location="Explicaciones!A146" display="PAGOS"/>
    <hyperlink ref="A7" location="Explicaciones!A140" display="PRÉSTAMO"/>
    <hyperlink ref="A6" location="Explicaciones!A134" display="CAPITAL"/>
    <hyperlink ref="A5" location="Explicaciones!A129" display="INGRESOS EXTRAORDINARIOS"/>
    <hyperlink ref="A4" location="Explicaciones!A123" display="ENTRADA EN CAJA POR VENTAS/PREST. SERV."/>
    <hyperlink ref="A3" location="Explicaciones!A116" display="COBROS"/>
    <hyperlink ref="A1" location="Explicaciones!A108" display="PRESUPUESTO DE TESORERÍA"/>
  </hyperlinks>
  <printOptions horizontalCentered="1" verticalCentered="1"/>
  <pageMargins left="0.7480314960629921" right="0.7480314960629921" top="0.984251968503937" bottom="0.2755905511811024" header="0" footer="0"/>
  <pageSetup horizontalDpi="300" verticalDpi="300" orientation="landscape" paperSize="9" scale="86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32"/>
  <sheetViews>
    <sheetView view="pageBreakPreview" zoomScaleNormal="95" zoomScaleSheetLayoutView="100" zoomScalePageLayoutView="0" workbookViewId="0" topLeftCell="A1">
      <selection activeCell="A27" sqref="A27"/>
    </sheetView>
  </sheetViews>
  <sheetFormatPr defaultColWidth="38.421875" defaultRowHeight="12.75"/>
  <cols>
    <col min="1" max="1" width="38.421875" style="83" customWidth="1"/>
    <col min="2" max="15" width="8.7109375" style="83" customWidth="1"/>
    <col min="16" max="16384" width="38.421875" style="83" customWidth="1"/>
  </cols>
  <sheetData>
    <row r="1" spans="1:101" s="74" customFormat="1" ht="12.75">
      <c r="A1" s="70" t="s">
        <v>339</v>
      </c>
      <c r="B1" s="104" t="s">
        <v>384</v>
      </c>
      <c r="C1" s="104" t="s">
        <v>385</v>
      </c>
      <c r="D1" s="104" t="s">
        <v>386</v>
      </c>
      <c r="E1" s="104" t="s">
        <v>387</v>
      </c>
      <c r="F1" s="104" t="s">
        <v>388</v>
      </c>
      <c r="G1" s="104" t="s">
        <v>389</v>
      </c>
      <c r="H1" s="104" t="s">
        <v>390</v>
      </c>
      <c r="I1" s="104" t="s">
        <v>391</v>
      </c>
      <c r="J1" s="104" t="s">
        <v>392</v>
      </c>
      <c r="K1" s="104" t="s">
        <v>393</v>
      </c>
      <c r="L1" s="104" t="s">
        <v>394</v>
      </c>
      <c r="M1" s="104" t="s">
        <v>395</v>
      </c>
      <c r="N1" s="72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</row>
    <row r="2" spans="1:101" s="79" customFormat="1" ht="12.75">
      <c r="A2" s="75" t="s">
        <v>126</v>
      </c>
      <c r="B2" s="76">
        <f>+SUM(B3:B9)</f>
        <v>0</v>
      </c>
      <c r="C2" s="76">
        <f aca="true" t="shared" si="0" ref="C2:M2">+SUM(C3:C9)</f>
        <v>0</v>
      </c>
      <c r="D2" s="76">
        <f t="shared" si="0"/>
        <v>0</v>
      </c>
      <c r="E2" s="76">
        <f t="shared" si="0"/>
        <v>0</v>
      </c>
      <c r="F2" s="76">
        <f t="shared" si="0"/>
        <v>0</v>
      </c>
      <c r="G2" s="76">
        <f t="shared" si="0"/>
        <v>0</v>
      </c>
      <c r="H2" s="76">
        <f t="shared" si="0"/>
        <v>0</v>
      </c>
      <c r="I2" s="76">
        <f t="shared" si="0"/>
        <v>0</v>
      </c>
      <c r="J2" s="76">
        <f t="shared" si="0"/>
        <v>0</v>
      </c>
      <c r="K2" s="76">
        <f t="shared" si="0"/>
        <v>0</v>
      </c>
      <c r="L2" s="76">
        <f t="shared" si="0"/>
        <v>0</v>
      </c>
      <c r="M2" s="76">
        <f t="shared" si="0"/>
        <v>0</v>
      </c>
      <c r="N2" s="77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</row>
    <row r="3" spans="1:101" ht="12.75">
      <c r="A3" s="80" t="s">
        <v>127</v>
      </c>
      <c r="B3" s="81">
        <f>+CUESTIONARIO!I193</f>
        <v>0</v>
      </c>
      <c r="C3" s="81">
        <f>+$B$3</f>
        <v>0</v>
      </c>
      <c r="D3" s="81">
        <f aca="true" t="shared" si="1" ref="D3:M3">+$B$3</f>
        <v>0</v>
      </c>
      <c r="E3" s="81">
        <f t="shared" si="1"/>
        <v>0</v>
      </c>
      <c r="F3" s="81">
        <f t="shared" si="1"/>
        <v>0</v>
      </c>
      <c r="G3" s="81">
        <f t="shared" si="1"/>
        <v>0</v>
      </c>
      <c r="H3" s="81">
        <f t="shared" si="1"/>
        <v>0</v>
      </c>
      <c r="I3" s="81">
        <f t="shared" si="1"/>
        <v>0</v>
      </c>
      <c r="J3" s="81">
        <f t="shared" si="1"/>
        <v>0</v>
      </c>
      <c r="K3" s="81">
        <f t="shared" si="1"/>
        <v>0</v>
      </c>
      <c r="L3" s="81">
        <f t="shared" si="1"/>
        <v>0</v>
      </c>
      <c r="M3" s="81">
        <f t="shared" si="1"/>
        <v>0</v>
      </c>
      <c r="N3" s="77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</row>
    <row r="4" spans="1:101" ht="27.75" customHeight="1">
      <c r="A4" s="80" t="s">
        <v>340</v>
      </c>
      <c r="B4" s="81">
        <f>-$B$3/(CUESTIONARIO!$H$208*12)</f>
        <v>0</v>
      </c>
      <c r="C4" s="81">
        <f>-($B$3/(CUESTIONARIO!$H$208*12))*2</f>
        <v>0</v>
      </c>
      <c r="D4" s="81">
        <f>-($B$3/(CUESTIONARIO!$H$208*12))*3</f>
        <v>0</v>
      </c>
      <c r="E4" s="81">
        <f>-($B$3/(CUESTIONARIO!$H$208*12))*4</f>
        <v>0</v>
      </c>
      <c r="F4" s="81">
        <f>-($B$3/(CUESTIONARIO!$H$208*12))*5</f>
        <v>0</v>
      </c>
      <c r="G4" s="81">
        <f>-($B$3/(CUESTIONARIO!$H$208*12))*6</f>
        <v>0</v>
      </c>
      <c r="H4" s="81">
        <f>-($B$3/(CUESTIONARIO!$H$208*12))*7</f>
        <v>0</v>
      </c>
      <c r="I4" s="81">
        <f>-($B$3/(CUESTIONARIO!$H$208*12))*8</f>
        <v>0</v>
      </c>
      <c r="J4" s="81">
        <f>-($B$3/(CUESTIONARIO!$H$208*12))*9</f>
        <v>0</v>
      </c>
      <c r="K4" s="81">
        <f>-($B$3/(CUESTIONARIO!$H$208*12))*10</f>
        <v>0</v>
      </c>
      <c r="L4" s="81">
        <f>-($B$3/(CUESTIONARIO!$H$208*12))*11</f>
        <v>0</v>
      </c>
      <c r="M4" s="81">
        <f>-($B$3/(CUESTIONARIO!$H$208*12))*12</f>
        <v>0</v>
      </c>
      <c r="N4" s="77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</row>
    <row r="5" spans="1:101" ht="12.75">
      <c r="A5" s="80" t="s">
        <v>128</v>
      </c>
      <c r="B5" s="81">
        <f>+CUESTIONARIO!I195</f>
        <v>0</v>
      </c>
      <c r="C5" s="81">
        <f>+$B$5</f>
        <v>0</v>
      </c>
      <c r="D5" s="81">
        <f aca="true" t="shared" si="2" ref="D5:M5">+$B$5</f>
        <v>0</v>
      </c>
      <c r="E5" s="81">
        <f t="shared" si="2"/>
        <v>0</v>
      </c>
      <c r="F5" s="81">
        <f t="shared" si="2"/>
        <v>0</v>
      </c>
      <c r="G5" s="81">
        <f t="shared" si="2"/>
        <v>0</v>
      </c>
      <c r="H5" s="81">
        <f t="shared" si="2"/>
        <v>0</v>
      </c>
      <c r="I5" s="81">
        <f t="shared" si="2"/>
        <v>0</v>
      </c>
      <c r="J5" s="81">
        <f t="shared" si="2"/>
        <v>0</v>
      </c>
      <c r="K5" s="81">
        <f t="shared" si="2"/>
        <v>0</v>
      </c>
      <c r="L5" s="81">
        <f t="shared" si="2"/>
        <v>0</v>
      </c>
      <c r="M5" s="81">
        <f t="shared" si="2"/>
        <v>0</v>
      </c>
      <c r="N5" s="77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</row>
    <row r="6" spans="1:101" ht="17.25" customHeight="1">
      <c r="A6" s="80" t="s">
        <v>341</v>
      </c>
      <c r="B6" s="81">
        <f>-(CUESTIONARIO!$I$195/(CUESTIONARIO!$H$209*12))</f>
        <v>0</v>
      </c>
      <c r="C6" s="81">
        <f>-(CUESTIONARIO!$I$195/(CUESTIONARIO!$H$209*12))*2</f>
        <v>0</v>
      </c>
      <c r="D6" s="81">
        <f>-(CUESTIONARIO!$I$195/(CUESTIONARIO!$H$209*12))*3</f>
        <v>0</v>
      </c>
      <c r="E6" s="81">
        <f>-(CUESTIONARIO!$I$195/(CUESTIONARIO!$H$209*12))*4</f>
        <v>0</v>
      </c>
      <c r="F6" s="81">
        <f>-(CUESTIONARIO!$I$195/(CUESTIONARIO!$H$209*12))*5</f>
        <v>0</v>
      </c>
      <c r="G6" s="81">
        <f>-(CUESTIONARIO!$I$195/(CUESTIONARIO!$H$209*12))*6</f>
        <v>0</v>
      </c>
      <c r="H6" s="81">
        <f>-(CUESTIONARIO!$I$195/(CUESTIONARIO!$H$209*12))*7</f>
        <v>0</v>
      </c>
      <c r="I6" s="81">
        <f>-(CUESTIONARIO!$I$195/(CUESTIONARIO!$H$209*12))*8</f>
        <v>0</v>
      </c>
      <c r="J6" s="81">
        <f>-(CUESTIONARIO!$I$195/(CUESTIONARIO!$H$209*12))*9</f>
        <v>0</v>
      </c>
      <c r="K6" s="81">
        <f>-(CUESTIONARIO!$I$195/(CUESTIONARIO!$H$209*12))*10</f>
        <v>0</v>
      </c>
      <c r="L6" s="81">
        <f>-(CUESTIONARIO!$I$195/(CUESTIONARIO!$H$209*12))*11</f>
        <v>0</v>
      </c>
      <c r="M6" s="81">
        <f>-(CUESTIONARIO!$I$195/(CUESTIONARIO!$H$209*12))*12</f>
        <v>0</v>
      </c>
      <c r="N6" s="77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</row>
    <row r="7" spans="1:101" ht="17.25" customHeight="1">
      <c r="A7" s="80" t="s">
        <v>129</v>
      </c>
      <c r="B7" s="81">
        <f>+CUESTIONARIO!I197</f>
        <v>0</v>
      </c>
      <c r="C7" s="81">
        <f>+$B$7</f>
        <v>0</v>
      </c>
      <c r="D7" s="81">
        <f aca="true" t="shared" si="3" ref="D7:M7">+$B$7</f>
        <v>0</v>
      </c>
      <c r="E7" s="81">
        <f t="shared" si="3"/>
        <v>0</v>
      </c>
      <c r="F7" s="81">
        <f t="shared" si="3"/>
        <v>0</v>
      </c>
      <c r="G7" s="81">
        <f t="shared" si="3"/>
        <v>0</v>
      </c>
      <c r="H7" s="81">
        <f t="shared" si="3"/>
        <v>0</v>
      </c>
      <c r="I7" s="81">
        <f t="shared" si="3"/>
        <v>0</v>
      </c>
      <c r="J7" s="81">
        <f t="shared" si="3"/>
        <v>0</v>
      </c>
      <c r="K7" s="81">
        <f t="shared" si="3"/>
        <v>0</v>
      </c>
      <c r="L7" s="81">
        <f t="shared" si="3"/>
        <v>0</v>
      </c>
      <c r="M7" s="81">
        <f t="shared" si="3"/>
        <v>0</v>
      </c>
      <c r="N7" s="77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</row>
    <row r="8" spans="1:101" ht="12.75">
      <c r="A8" s="80" t="s">
        <v>342</v>
      </c>
      <c r="B8" s="81">
        <f>-(CUESTIONARIO!$I$197/(CUESTIONARIO!$H$210*12))</f>
        <v>0</v>
      </c>
      <c r="C8" s="81">
        <f>-(CUESTIONARIO!$I$197/(CUESTIONARIO!$H$210*12))*2</f>
        <v>0</v>
      </c>
      <c r="D8" s="81">
        <f>-(CUESTIONARIO!$I$197/(CUESTIONARIO!$H$210*12))*3</f>
        <v>0</v>
      </c>
      <c r="E8" s="81">
        <f>-(CUESTIONARIO!$I$197/(CUESTIONARIO!$H$210*12))*4</f>
        <v>0</v>
      </c>
      <c r="F8" s="81">
        <f>-(CUESTIONARIO!$I$197/(CUESTIONARIO!$H$210*12))*5</f>
        <v>0</v>
      </c>
      <c r="G8" s="81">
        <f>-(CUESTIONARIO!$I$197/(CUESTIONARIO!$H$210*12))*6</f>
        <v>0</v>
      </c>
      <c r="H8" s="81">
        <f>-(CUESTIONARIO!$I$197/(CUESTIONARIO!$H$210*12))*7</f>
        <v>0</v>
      </c>
      <c r="I8" s="81">
        <f>-(CUESTIONARIO!$I$197/(CUESTIONARIO!$H$210*12))*8</f>
        <v>0</v>
      </c>
      <c r="J8" s="81">
        <f>-(CUESTIONARIO!$I$197/(CUESTIONARIO!$H$210*12))*9</f>
        <v>0</v>
      </c>
      <c r="K8" s="81">
        <f>-(CUESTIONARIO!$I$197/(CUESTIONARIO!$H$210*12))*10</f>
        <v>0</v>
      </c>
      <c r="L8" s="81">
        <f>-(CUESTIONARIO!$I$197/(CUESTIONARIO!$H$210*12))*11</f>
        <v>0</v>
      </c>
      <c r="M8" s="81">
        <f>-(CUESTIONARIO!$I$197/(CUESTIONARIO!$H$210*12))*12</f>
        <v>0</v>
      </c>
      <c r="N8" s="77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</row>
    <row r="9" spans="1:101" ht="12.75">
      <c r="A9" s="80" t="s">
        <v>130</v>
      </c>
      <c r="B9" s="81">
        <f>+CUESTIONARIO!I199</f>
        <v>0</v>
      </c>
      <c r="C9" s="81">
        <f>+$B$9</f>
        <v>0</v>
      </c>
      <c r="D9" s="81">
        <f aca="true" t="shared" si="4" ref="D9:M9">+$B$9</f>
        <v>0</v>
      </c>
      <c r="E9" s="81">
        <f t="shared" si="4"/>
        <v>0</v>
      </c>
      <c r="F9" s="81">
        <f t="shared" si="4"/>
        <v>0</v>
      </c>
      <c r="G9" s="81">
        <f t="shared" si="4"/>
        <v>0</v>
      </c>
      <c r="H9" s="81">
        <f t="shared" si="4"/>
        <v>0</v>
      </c>
      <c r="I9" s="81">
        <f t="shared" si="4"/>
        <v>0</v>
      </c>
      <c r="J9" s="81">
        <f t="shared" si="4"/>
        <v>0</v>
      </c>
      <c r="K9" s="81">
        <f t="shared" si="4"/>
        <v>0</v>
      </c>
      <c r="L9" s="81">
        <f t="shared" si="4"/>
        <v>0</v>
      </c>
      <c r="M9" s="81">
        <f t="shared" si="4"/>
        <v>0</v>
      </c>
      <c r="N9" s="77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</row>
    <row r="10" spans="1:101" s="79" customFormat="1" ht="12.75">
      <c r="A10" s="84" t="s">
        <v>343</v>
      </c>
      <c r="B10" s="76">
        <f>+B11+B12+B16</f>
        <v>0</v>
      </c>
      <c r="C10" s="76">
        <f aca="true" t="shared" si="5" ref="C10:M10">+C11+C12+C16</f>
        <v>0</v>
      </c>
      <c r="D10" s="76">
        <f t="shared" si="5"/>
        <v>0</v>
      </c>
      <c r="E10" s="76">
        <f t="shared" si="5"/>
        <v>0</v>
      </c>
      <c r="F10" s="76">
        <f t="shared" si="5"/>
        <v>0</v>
      </c>
      <c r="G10" s="76">
        <f t="shared" si="5"/>
        <v>0</v>
      </c>
      <c r="H10" s="76">
        <f t="shared" si="5"/>
        <v>0</v>
      </c>
      <c r="I10" s="76">
        <f t="shared" si="5"/>
        <v>0</v>
      </c>
      <c r="J10" s="76">
        <f t="shared" si="5"/>
        <v>0</v>
      </c>
      <c r="K10" s="76">
        <f t="shared" si="5"/>
        <v>0</v>
      </c>
      <c r="L10" s="76">
        <f t="shared" si="5"/>
        <v>0</v>
      </c>
      <c r="M10" s="76">
        <f t="shared" si="5"/>
        <v>0</v>
      </c>
      <c r="N10" s="7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</row>
    <row r="11" spans="1:101" ht="12.75">
      <c r="A11" s="80" t="s">
        <v>344</v>
      </c>
      <c r="B11" s="81">
        <f>+CUESTIONARIO!D82</f>
        <v>0</v>
      </c>
      <c r="C11" s="81">
        <f>+$B$11</f>
        <v>0</v>
      </c>
      <c r="D11" s="81">
        <f aca="true" t="shared" si="6" ref="D11:M11">+$B$11</f>
        <v>0</v>
      </c>
      <c r="E11" s="81">
        <f t="shared" si="6"/>
        <v>0</v>
      </c>
      <c r="F11" s="81">
        <f t="shared" si="6"/>
        <v>0</v>
      </c>
      <c r="G11" s="81">
        <f t="shared" si="6"/>
        <v>0</v>
      </c>
      <c r="H11" s="81">
        <f t="shared" si="6"/>
        <v>0</v>
      </c>
      <c r="I11" s="81">
        <f t="shared" si="6"/>
        <v>0</v>
      </c>
      <c r="J11" s="81">
        <f t="shared" si="6"/>
        <v>0</v>
      </c>
      <c r="K11" s="81">
        <f t="shared" si="6"/>
        <v>0</v>
      </c>
      <c r="L11" s="81">
        <f t="shared" si="6"/>
        <v>0</v>
      </c>
      <c r="M11" s="81">
        <f t="shared" si="6"/>
        <v>0</v>
      </c>
      <c r="N11" s="77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</row>
    <row r="12" spans="1:101" ht="12.75">
      <c r="A12" s="80" t="s">
        <v>345</v>
      </c>
      <c r="B12" s="81">
        <f>+SUM(B13:B15)</f>
        <v>0</v>
      </c>
      <c r="C12" s="81">
        <f aca="true" t="shared" si="7" ref="C12:M12">+SUM(C13:C15)</f>
        <v>0</v>
      </c>
      <c r="D12" s="81">
        <f t="shared" si="7"/>
        <v>0</v>
      </c>
      <c r="E12" s="81">
        <f t="shared" si="7"/>
        <v>0</v>
      </c>
      <c r="F12" s="81">
        <f t="shared" si="7"/>
        <v>0</v>
      </c>
      <c r="G12" s="81">
        <f t="shared" si="7"/>
        <v>0</v>
      </c>
      <c r="H12" s="81">
        <f t="shared" si="7"/>
        <v>0</v>
      </c>
      <c r="I12" s="81">
        <f t="shared" si="7"/>
        <v>0</v>
      </c>
      <c r="J12" s="81">
        <f t="shared" si="7"/>
        <v>0</v>
      </c>
      <c r="K12" s="81">
        <f t="shared" si="7"/>
        <v>0</v>
      </c>
      <c r="L12" s="81">
        <f t="shared" si="7"/>
        <v>0</v>
      </c>
      <c r="M12" s="81">
        <f t="shared" si="7"/>
        <v>0</v>
      </c>
      <c r="N12" s="77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</row>
    <row r="13" spans="1:101" ht="12.75">
      <c r="A13" s="80" t="s">
        <v>346</v>
      </c>
      <c r="B13" s="81">
        <f>+CUESTIONARIO!C231</f>
        <v>0</v>
      </c>
      <c r="C13" s="81">
        <f>+B13+CUESTIONARIO!C232</f>
        <v>0</v>
      </c>
      <c r="D13" s="81">
        <f>+C13+CUESTIONARIO!C233</f>
        <v>0</v>
      </c>
      <c r="E13" s="81">
        <f>+D13+CUESTIONARIO!C234</f>
        <v>0</v>
      </c>
      <c r="F13" s="81">
        <f>+E13+CUESTIONARIO!C235</f>
        <v>0</v>
      </c>
      <c r="G13" s="81">
        <f>+F13+CUESTIONARIO!C236</f>
        <v>0</v>
      </c>
      <c r="H13" s="81">
        <f>+G13+CUESTIONARIO!C237</f>
        <v>0</v>
      </c>
      <c r="I13" s="81">
        <f>+H13+CUESTIONARIO!C238</f>
        <v>0</v>
      </c>
      <c r="J13" s="81">
        <f>+I13+CUESTIONARIO!C239</f>
        <v>0</v>
      </c>
      <c r="K13" s="81">
        <f>+J13+CUESTIONARIO!C240</f>
        <v>0</v>
      </c>
      <c r="L13" s="81">
        <f>+K13+CUESTIONARIO!C241</f>
        <v>0</v>
      </c>
      <c r="M13" s="81">
        <f>+L13+CUESTIONARIO!C242</f>
        <v>0</v>
      </c>
      <c r="N13" s="77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</row>
    <row r="14" spans="1:101" ht="25.5">
      <c r="A14" s="80" t="s">
        <v>347</v>
      </c>
      <c r="B14" s="81">
        <f>+IF('P y G'!B21&lt;0,-'P y G'!B21,0)</f>
        <v>0</v>
      </c>
      <c r="C14" s="81">
        <f>B14+IF('P y G'!C21&lt;0,-'P y G'!C21,0)</f>
        <v>0</v>
      </c>
      <c r="D14" s="81">
        <f>C14+IF('P y G'!D21&lt;0,-'P y G'!D21,0)</f>
        <v>0</v>
      </c>
      <c r="E14" s="81">
        <f>D14+IF('P y G'!E21&lt;0,-'P y G'!E21,0)</f>
        <v>0</v>
      </c>
      <c r="F14" s="81">
        <f>E14+IF('P y G'!F21&lt;0,-'P y G'!F21,0)</f>
        <v>0</v>
      </c>
      <c r="G14" s="81">
        <f>F14+IF('P y G'!G21&lt;0,-'P y G'!G21,0)</f>
        <v>0</v>
      </c>
      <c r="H14" s="81">
        <f>G14+IF('P y G'!H21&lt;0,-'P y G'!H21,0)</f>
        <v>0</v>
      </c>
      <c r="I14" s="81">
        <f>H14+IF('P y G'!I21&lt;0,-'P y G'!I21,0)</f>
        <v>0</v>
      </c>
      <c r="J14" s="81">
        <f>I14+IF('P y G'!J21&lt;0,-'P y G'!J21,0)</f>
        <v>0</v>
      </c>
      <c r="K14" s="81">
        <f>J14+IF('P y G'!K21&lt;0,-'P y G'!K21,0)</f>
        <v>0</v>
      </c>
      <c r="L14" s="81">
        <f>K14+IF('P y G'!L21&lt;0,-'P y G'!L21,0)</f>
        <v>0</v>
      </c>
      <c r="M14" s="81">
        <f>L14+IF('P y G'!M21&lt;0,-'P y G'!M21,0)</f>
        <v>0</v>
      </c>
      <c r="N14" s="77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</row>
    <row r="15" spans="1:101" ht="12.75">
      <c r="A15" s="80" t="s">
        <v>348</v>
      </c>
      <c r="B15" s="81">
        <f>+'P y G'!B5*21%</f>
        <v>0</v>
      </c>
      <c r="C15" s="81">
        <f>+B15+'P y G'!C5*21%</f>
        <v>0</v>
      </c>
      <c r="D15" s="81">
        <f>+C15+'P y G'!D5*21%</f>
        <v>0</v>
      </c>
      <c r="E15" s="81">
        <f>+D15+'P y G'!E5*21%</f>
        <v>0</v>
      </c>
      <c r="F15" s="81">
        <f>+E15+'P y G'!F5*21%</f>
        <v>0</v>
      </c>
      <c r="G15" s="81">
        <f>+F15+'P y G'!G5*21%</f>
        <v>0</v>
      </c>
      <c r="H15" s="81">
        <f>+G15+'P y G'!H5*21%</f>
        <v>0</v>
      </c>
      <c r="I15" s="81">
        <f>+H15+'P y G'!I5*21%</f>
        <v>0</v>
      </c>
      <c r="J15" s="81">
        <f>+I15+'P y G'!J5*21%</f>
        <v>0</v>
      </c>
      <c r="K15" s="81">
        <f>+J15+'P y G'!K5*21%</f>
        <v>0</v>
      </c>
      <c r="L15" s="81">
        <f>+K15+'P y G'!L5*21%</f>
        <v>0</v>
      </c>
      <c r="M15" s="81">
        <f>+L15+'P y G'!M5*21%</f>
        <v>0</v>
      </c>
      <c r="N15" s="77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</row>
    <row r="16" spans="1:101" ht="12.75">
      <c r="A16" s="80" t="s">
        <v>349</v>
      </c>
      <c r="B16" s="81">
        <f>+Tesorería!B27</f>
        <v>0</v>
      </c>
      <c r="C16" s="81">
        <f>+Tesorería!C27</f>
        <v>0</v>
      </c>
      <c r="D16" s="81">
        <f>+Tesorería!D27</f>
        <v>0</v>
      </c>
      <c r="E16" s="81">
        <f>+Tesorería!E27</f>
        <v>0</v>
      </c>
      <c r="F16" s="81">
        <f>+Tesorería!F27</f>
        <v>0</v>
      </c>
      <c r="G16" s="81">
        <f>+Tesorería!G27</f>
        <v>0</v>
      </c>
      <c r="H16" s="81">
        <f>+Tesorería!H27</f>
        <v>0</v>
      </c>
      <c r="I16" s="81">
        <f>+Tesorería!I27</f>
        <v>0</v>
      </c>
      <c r="J16" s="81">
        <f>+Tesorería!J27</f>
        <v>0</v>
      </c>
      <c r="K16" s="81">
        <f>+Tesorería!K27</f>
        <v>0</v>
      </c>
      <c r="L16" s="81">
        <f>+Tesorería!L27</f>
        <v>0</v>
      </c>
      <c r="M16" s="81">
        <f>+Tesorería!M27</f>
        <v>0</v>
      </c>
      <c r="N16" s="77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</row>
    <row r="17" spans="1:101" s="74" customFormat="1" ht="12.75">
      <c r="A17" s="85" t="s">
        <v>350</v>
      </c>
      <c r="B17" s="71">
        <f>+B2+B10</f>
        <v>0</v>
      </c>
      <c r="C17" s="71">
        <f aca="true" t="shared" si="8" ref="C17:M17">+C2+C10</f>
        <v>0</v>
      </c>
      <c r="D17" s="71">
        <f t="shared" si="8"/>
        <v>0</v>
      </c>
      <c r="E17" s="71">
        <f t="shared" si="8"/>
        <v>0</v>
      </c>
      <c r="F17" s="71">
        <f t="shared" si="8"/>
        <v>0</v>
      </c>
      <c r="G17" s="71">
        <f t="shared" si="8"/>
        <v>0</v>
      </c>
      <c r="H17" s="71">
        <f t="shared" si="8"/>
        <v>0</v>
      </c>
      <c r="I17" s="71">
        <f t="shared" si="8"/>
        <v>0</v>
      </c>
      <c r="J17" s="71">
        <f t="shared" si="8"/>
        <v>0</v>
      </c>
      <c r="K17" s="71">
        <f t="shared" si="8"/>
        <v>0</v>
      </c>
      <c r="L17" s="71">
        <f t="shared" si="8"/>
        <v>0</v>
      </c>
      <c r="M17" s="71">
        <f t="shared" si="8"/>
        <v>0</v>
      </c>
      <c r="N17" s="86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</row>
    <row r="18" spans="1:101" ht="12.75">
      <c r="A18" s="87"/>
      <c r="B18" s="81"/>
      <c r="C18" s="81"/>
      <c r="D18" s="81"/>
      <c r="E18" s="81"/>
      <c r="F18" s="81"/>
      <c r="G18" s="88"/>
      <c r="H18" s="88"/>
      <c r="I18" s="88"/>
      <c r="J18" s="88"/>
      <c r="K18" s="88"/>
      <c r="L18" s="88"/>
      <c r="M18" s="88"/>
      <c r="N18" s="77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</row>
    <row r="19" spans="1:101" s="79" customFormat="1" ht="12.75">
      <c r="A19" s="84" t="s">
        <v>351</v>
      </c>
      <c r="B19" s="76">
        <f>+B20+B21</f>
        <v>0</v>
      </c>
      <c r="C19" s="76">
        <f aca="true" t="shared" si="9" ref="C19:M19">+C20+C21</f>
        <v>0</v>
      </c>
      <c r="D19" s="76">
        <f t="shared" si="9"/>
        <v>0</v>
      </c>
      <c r="E19" s="76">
        <f t="shared" si="9"/>
        <v>0</v>
      </c>
      <c r="F19" s="76">
        <f t="shared" si="9"/>
        <v>0</v>
      </c>
      <c r="G19" s="76">
        <f t="shared" si="9"/>
        <v>0</v>
      </c>
      <c r="H19" s="76">
        <f t="shared" si="9"/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0</v>
      </c>
      <c r="M19" s="76">
        <f t="shared" si="9"/>
        <v>0</v>
      </c>
      <c r="N19" s="7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</row>
    <row r="20" spans="1:101" ht="12.75">
      <c r="A20" s="80" t="s">
        <v>352</v>
      </c>
      <c r="B20" s="81">
        <f>+CUESTIONARIO!$G$15</f>
        <v>0</v>
      </c>
      <c r="C20" s="81">
        <f>+CUESTIONARIO!$G$15</f>
        <v>0</v>
      </c>
      <c r="D20" s="81">
        <f>+CUESTIONARIO!$G$15</f>
        <v>0</v>
      </c>
      <c r="E20" s="81">
        <f>+CUESTIONARIO!$G$15</f>
        <v>0</v>
      </c>
      <c r="F20" s="81">
        <f>+CUESTIONARIO!$G$15</f>
        <v>0</v>
      </c>
      <c r="G20" s="81">
        <f>+CUESTIONARIO!$G$15</f>
        <v>0</v>
      </c>
      <c r="H20" s="81">
        <f>+CUESTIONARIO!$G$15</f>
        <v>0</v>
      </c>
      <c r="I20" s="81">
        <f>+CUESTIONARIO!$G$15</f>
        <v>0</v>
      </c>
      <c r="J20" s="81">
        <f>+CUESTIONARIO!$G$15</f>
        <v>0</v>
      </c>
      <c r="K20" s="81">
        <f>+CUESTIONARIO!$G$15</f>
        <v>0</v>
      </c>
      <c r="L20" s="81">
        <f>+CUESTIONARIO!$G$15</f>
        <v>0</v>
      </c>
      <c r="M20" s="81">
        <f>+CUESTIONARIO!$G$15</f>
        <v>0</v>
      </c>
      <c r="N20" s="77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</row>
    <row r="21" spans="1:101" ht="12.75">
      <c r="A21" s="80" t="s">
        <v>353</v>
      </c>
      <c r="B21" s="81">
        <f>+'P y G'!B22</f>
        <v>0</v>
      </c>
      <c r="C21" s="81">
        <f>+B21+'P y G'!C22</f>
        <v>0</v>
      </c>
      <c r="D21" s="81">
        <f>+C21+'P y G'!D22</f>
        <v>0</v>
      </c>
      <c r="E21" s="81">
        <f>+D21+'P y G'!E22</f>
        <v>0</v>
      </c>
      <c r="F21" s="81">
        <f>+E21+'P y G'!F22</f>
        <v>0</v>
      </c>
      <c r="G21" s="81">
        <f>+F21+'P y G'!G22</f>
        <v>0</v>
      </c>
      <c r="H21" s="81">
        <f>+G21+'P y G'!H22</f>
        <v>0</v>
      </c>
      <c r="I21" s="81">
        <f>+H21+'P y G'!I22</f>
        <v>0</v>
      </c>
      <c r="J21" s="81">
        <f>+I21+'P y G'!J22</f>
        <v>0</v>
      </c>
      <c r="K21" s="81">
        <f>+J21+'P y G'!K22</f>
        <v>0</v>
      </c>
      <c r="L21" s="81">
        <f>+K21+'P y G'!L22</f>
        <v>0</v>
      </c>
      <c r="M21" s="81">
        <f>+L21+'P y G'!M22</f>
        <v>0</v>
      </c>
      <c r="N21" s="77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</row>
    <row r="22" spans="1:101" s="79" customFormat="1" ht="12.75">
      <c r="A22" s="84" t="s">
        <v>354</v>
      </c>
      <c r="B22" s="76">
        <f>+B23+B24</f>
        <v>0</v>
      </c>
      <c r="C22" s="76">
        <f aca="true" t="shared" si="10" ref="C22:L22">+C23+C24</f>
        <v>0</v>
      </c>
      <c r="D22" s="76">
        <f t="shared" si="10"/>
        <v>0</v>
      </c>
      <c r="E22" s="76">
        <f t="shared" si="10"/>
        <v>0</v>
      </c>
      <c r="F22" s="76">
        <f t="shared" si="10"/>
        <v>0</v>
      </c>
      <c r="G22" s="76">
        <f t="shared" si="10"/>
        <v>0</v>
      </c>
      <c r="H22" s="76">
        <f t="shared" si="10"/>
        <v>0</v>
      </c>
      <c r="I22" s="76">
        <f t="shared" si="10"/>
        <v>0</v>
      </c>
      <c r="J22" s="76">
        <f t="shared" si="10"/>
        <v>0</v>
      </c>
      <c r="K22" s="76">
        <f t="shared" si="10"/>
        <v>0</v>
      </c>
      <c r="L22" s="76">
        <f t="shared" si="10"/>
        <v>0</v>
      </c>
      <c r="M22" s="76">
        <f>+M23+M24</f>
        <v>0</v>
      </c>
      <c r="N22" s="7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</row>
    <row r="23" spans="1:101" ht="12.75">
      <c r="A23" s="80" t="s">
        <v>355</v>
      </c>
      <c r="B23" s="81">
        <f>+CUESTIONARIO!F20-Tesorería!B25</f>
        <v>0</v>
      </c>
      <c r="C23" s="81">
        <f>B23-Tesorería!C25</f>
        <v>0</v>
      </c>
      <c r="D23" s="81">
        <f>C23-Tesorería!D25</f>
        <v>0</v>
      </c>
      <c r="E23" s="81">
        <f>D23-Tesorería!E25</f>
        <v>0</v>
      </c>
      <c r="F23" s="81">
        <f>E23-Tesorería!F25</f>
        <v>0</v>
      </c>
      <c r="G23" s="81">
        <f>F23-Tesorería!G25</f>
        <v>0</v>
      </c>
      <c r="H23" s="81">
        <f>G23-Tesorería!H25</f>
        <v>0</v>
      </c>
      <c r="I23" s="81">
        <f>H23-Tesorería!I25</f>
        <v>0</v>
      </c>
      <c r="J23" s="81">
        <f>I23-Tesorería!J25</f>
        <v>0</v>
      </c>
      <c r="K23" s="81">
        <f>J23-Tesorería!K25</f>
        <v>0</v>
      </c>
      <c r="L23" s="81">
        <f>K23-Tesorería!L25</f>
        <v>0</v>
      </c>
      <c r="M23" s="81">
        <f>L23-Tesorería!M25</f>
        <v>0</v>
      </c>
      <c r="N23" s="77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</row>
    <row r="24" spans="1:101" ht="12.75">
      <c r="A24" s="80" t="s">
        <v>356</v>
      </c>
      <c r="B24" s="81">
        <f>+Tesorería!$H$12+Tesorería!$H$13</f>
        <v>0</v>
      </c>
      <c r="C24" s="81">
        <f>+Tesorería!$H$12+Tesorería!$H$13</f>
        <v>0</v>
      </c>
      <c r="D24" s="81">
        <f>+Tesorería!$H$12+Tesorería!$H$13</f>
        <v>0</v>
      </c>
      <c r="E24" s="81">
        <f>+Tesorería!$H$12+Tesorería!$H$13</f>
        <v>0</v>
      </c>
      <c r="F24" s="81">
        <f>+Tesorería!$H$12+Tesorería!$H$13</f>
        <v>0</v>
      </c>
      <c r="G24" s="81">
        <f>+Tesorería!$H$12+Tesorería!$H$13</f>
        <v>0</v>
      </c>
      <c r="H24" s="119"/>
      <c r="I24" s="119"/>
      <c r="J24" s="119"/>
      <c r="K24" s="119"/>
      <c r="L24" s="119"/>
      <c r="M24" s="119"/>
      <c r="N24" s="77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</row>
    <row r="25" spans="1:101" s="79" customFormat="1" ht="12.75">
      <c r="A25" s="84" t="s">
        <v>357</v>
      </c>
      <c r="B25" s="76">
        <f>+B26+B27</f>
        <v>0</v>
      </c>
      <c r="C25" s="76">
        <f aca="true" t="shared" si="11" ref="C25:M25">+C26+C27</f>
        <v>0</v>
      </c>
      <c r="D25" s="76">
        <f t="shared" si="11"/>
        <v>0</v>
      </c>
      <c r="E25" s="76">
        <f t="shared" si="11"/>
        <v>0</v>
      </c>
      <c r="F25" s="76">
        <f t="shared" si="11"/>
        <v>0</v>
      </c>
      <c r="G25" s="76">
        <f t="shared" si="11"/>
        <v>0</v>
      </c>
      <c r="H25" s="76">
        <f t="shared" si="11"/>
        <v>0</v>
      </c>
      <c r="I25" s="76">
        <f t="shared" si="11"/>
        <v>0</v>
      </c>
      <c r="J25" s="76">
        <f t="shared" si="11"/>
        <v>0</v>
      </c>
      <c r="K25" s="76">
        <f t="shared" si="11"/>
        <v>0</v>
      </c>
      <c r="L25" s="76">
        <f t="shared" si="11"/>
        <v>0</v>
      </c>
      <c r="M25" s="76">
        <f t="shared" si="11"/>
        <v>0</v>
      </c>
      <c r="N25" s="7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</row>
    <row r="26" spans="1:101" ht="12.75">
      <c r="A26" s="80" t="s">
        <v>358</v>
      </c>
      <c r="B26" s="81">
        <f>+CUESTIONARIO!C251</f>
        <v>0</v>
      </c>
      <c r="C26" s="81">
        <f>+B26+CUESTIONARIO!C252</f>
        <v>0</v>
      </c>
      <c r="D26" s="81">
        <f>+C26+CUESTIONARIO!C253</f>
        <v>0</v>
      </c>
      <c r="E26" s="81">
        <f>+D26+CUESTIONARIO!C254</f>
        <v>0</v>
      </c>
      <c r="F26" s="81">
        <f>+E26+CUESTIONARIO!C255</f>
        <v>0</v>
      </c>
      <c r="G26" s="81">
        <f>+F26+CUESTIONARIO!C256</f>
        <v>0</v>
      </c>
      <c r="H26" s="81">
        <f>+G26+CUESTIONARIO!C257</f>
        <v>0</v>
      </c>
      <c r="I26" s="81">
        <f>+H26+CUESTIONARIO!C258</f>
        <v>0</v>
      </c>
      <c r="J26" s="81">
        <f>+I26+CUESTIONARIO!C259</f>
        <v>0</v>
      </c>
      <c r="K26" s="81">
        <f>+J26+CUESTIONARIO!C260</f>
        <v>0</v>
      </c>
      <c r="L26" s="81">
        <f>+K26+CUESTIONARIO!C261</f>
        <v>0</v>
      </c>
      <c r="M26" s="81">
        <f>+L26+CUESTIONARIO!C262</f>
        <v>0</v>
      </c>
      <c r="N26" s="77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</row>
    <row r="27" spans="1:101" ht="12.75">
      <c r="A27" s="80" t="s">
        <v>359</v>
      </c>
      <c r="B27" s="81">
        <f>+SUM(B28:B31)</f>
        <v>0</v>
      </c>
      <c r="C27" s="81">
        <f aca="true" t="shared" si="12" ref="C27:M27">+SUM(C28:C31)</f>
        <v>0</v>
      </c>
      <c r="D27" s="81">
        <f t="shared" si="12"/>
        <v>0</v>
      </c>
      <c r="E27" s="81">
        <f t="shared" si="12"/>
        <v>0</v>
      </c>
      <c r="F27" s="81">
        <f t="shared" si="12"/>
        <v>0</v>
      </c>
      <c r="G27" s="81">
        <f t="shared" si="12"/>
        <v>0</v>
      </c>
      <c r="H27" s="81">
        <f t="shared" si="12"/>
        <v>0</v>
      </c>
      <c r="I27" s="81">
        <f t="shared" si="12"/>
        <v>0</v>
      </c>
      <c r="J27" s="81">
        <f t="shared" si="12"/>
        <v>0</v>
      </c>
      <c r="K27" s="81">
        <f t="shared" si="12"/>
        <v>0</v>
      </c>
      <c r="L27" s="81">
        <f t="shared" si="12"/>
        <v>0</v>
      </c>
      <c r="M27" s="81">
        <f t="shared" si="12"/>
        <v>0</v>
      </c>
      <c r="N27" s="77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</row>
    <row r="28" spans="1:101" ht="12.75">
      <c r="A28" s="80" t="s">
        <v>360</v>
      </c>
      <c r="B28" s="81">
        <f>+'P y G'!B2*21%</f>
        <v>0</v>
      </c>
      <c r="C28" s="81">
        <f>+B28+'P y G'!C2*21%</f>
        <v>0</v>
      </c>
      <c r="D28" s="81">
        <f>+C28+'P y G'!D2*21%</f>
        <v>0</v>
      </c>
      <c r="E28" s="81">
        <f>+D28+'P y G'!E2*21%</f>
        <v>0</v>
      </c>
      <c r="F28" s="81">
        <f>+E28+'P y G'!F2*21%</f>
        <v>0</v>
      </c>
      <c r="G28" s="81">
        <f>+F28+'P y G'!G2*21%</f>
        <v>0</v>
      </c>
      <c r="H28" s="81">
        <f>+G28+'P y G'!H2*21%</f>
        <v>0</v>
      </c>
      <c r="I28" s="81">
        <f>+H28+'P y G'!I2*21%</f>
        <v>0</v>
      </c>
      <c r="J28" s="81">
        <f>+I28+'P y G'!J2*21%</f>
        <v>0</v>
      </c>
      <c r="K28" s="81">
        <f>+J28+'P y G'!K2*21%</f>
        <v>0</v>
      </c>
      <c r="L28" s="81">
        <f>+K28+'P y G'!L2*21%</f>
        <v>0</v>
      </c>
      <c r="M28" s="81">
        <f>+L28+'P y G'!M2*21%</f>
        <v>0</v>
      </c>
      <c r="N28" s="77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</row>
    <row r="29" spans="1:101" ht="25.5">
      <c r="A29" s="80" t="s">
        <v>361</v>
      </c>
      <c r="B29" s="81">
        <f>+CUESTIONARIO!$C$100/14*CUESTIONARIO!$F$100</f>
        <v>0</v>
      </c>
      <c r="C29" s="81">
        <f>+(CUESTIONARIO!$C$100/14*CUESTIONARIO!$F$100)*2</f>
        <v>0</v>
      </c>
      <c r="D29" s="81">
        <f>+(CUESTIONARIO!$C$100/14*CUESTIONARIO!$F$100)*3</f>
        <v>0</v>
      </c>
      <c r="E29" s="81">
        <f>+B29</f>
        <v>0</v>
      </c>
      <c r="F29" s="81">
        <f>+C29</f>
        <v>0</v>
      </c>
      <c r="G29" s="81">
        <f>+D29</f>
        <v>0</v>
      </c>
      <c r="H29" s="81">
        <f aca="true" t="shared" si="13" ref="H29:J30">+B29</f>
        <v>0</v>
      </c>
      <c r="I29" s="81">
        <f t="shared" si="13"/>
        <v>0</v>
      </c>
      <c r="J29" s="81">
        <f t="shared" si="13"/>
        <v>0</v>
      </c>
      <c r="K29" s="81">
        <f>+B29</f>
        <v>0</v>
      </c>
      <c r="L29" s="81">
        <f>+C29</f>
        <v>0</v>
      </c>
      <c r="M29" s="81">
        <f>+D29</f>
        <v>0</v>
      </c>
      <c r="N29" s="89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</row>
    <row r="30" spans="1:101" ht="12.75">
      <c r="A30" s="80" t="s">
        <v>362</v>
      </c>
      <c r="B30" s="81">
        <f>+CUESTIONARIO!C100/(14*6)</f>
        <v>0</v>
      </c>
      <c r="C30" s="81">
        <f>+$B$30*2</f>
        <v>0</v>
      </c>
      <c r="D30" s="81">
        <f>+$B$30*3</f>
        <v>0</v>
      </c>
      <c r="E30" s="81">
        <f>+$B$30*4</f>
        <v>0</v>
      </c>
      <c r="F30" s="81">
        <f>+$B$30*5</f>
        <v>0</v>
      </c>
      <c r="G30" s="81">
        <v>0</v>
      </c>
      <c r="H30" s="81">
        <f t="shared" si="13"/>
        <v>0</v>
      </c>
      <c r="I30" s="81">
        <f t="shared" si="13"/>
        <v>0</v>
      </c>
      <c r="J30" s="81">
        <f t="shared" si="13"/>
        <v>0</v>
      </c>
      <c r="K30" s="81">
        <f>+E30</f>
        <v>0</v>
      </c>
      <c r="L30" s="81">
        <f>+F30</f>
        <v>0</v>
      </c>
      <c r="M30" s="81">
        <v>0</v>
      </c>
      <c r="N30" s="77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</row>
    <row r="31" spans="1:101" ht="12.75">
      <c r="A31" s="80" t="s">
        <v>363</v>
      </c>
      <c r="B31" s="81">
        <f>+IF('P y G'!B21&gt;0,'P y G'!B21,0)</f>
        <v>0</v>
      </c>
      <c r="C31" s="81">
        <f>B31+IF('P y G'!C21&gt;0,'P y G'!C21,0)</f>
        <v>0</v>
      </c>
      <c r="D31" s="81">
        <f>C31+IF('P y G'!D21&gt;0,'P y G'!D21,0)</f>
        <v>0</v>
      </c>
      <c r="E31" s="81">
        <f>D31+IF('P y G'!E21&gt;0,'P y G'!E21,0)</f>
        <v>0</v>
      </c>
      <c r="F31" s="81">
        <f>E31+IF('P y G'!F21&gt;0,'P y G'!F21,0)</f>
        <v>0</v>
      </c>
      <c r="G31" s="81">
        <f>F31+IF('P y G'!G21&gt;0,'P y G'!G21,0)</f>
        <v>0</v>
      </c>
      <c r="H31" s="81">
        <f>G31+IF('P y G'!H21&gt;0,'P y G'!H21,0)</f>
        <v>0</v>
      </c>
      <c r="I31" s="81">
        <f>H31+IF('P y G'!I21&gt;0,'P y G'!I21,0)</f>
        <v>0</v>
      </c>
      <c r="J31" s="81">
        <f>I31+IF('P y G'!J21&gt;0,'P y G'!J21,0)</f>
        <v>0</v>
      </c>
      <c r="K31" s="81">
        <f>J31+IF('P y G'!K21&gt;0,'P y G'!K21,0)</f>
        <v>0</v>
      </c>
      <c r="L31" s="81">
        <f>K31+IF('P y G'!L21&gt;0,'P y G'!L21,0)</f>
        <v>0</v>
      </c>
      <c r="M31" s="81">
        <f>L31+IF('P y G'!M21&gt;0,'P y G'!M21,0)</f>
        <v>0</v>
      </c>
      <c r="N31" s="77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</row>
    <row r="32" spans="1:101" s="74" customFormat="1" ht="12.75">
      <c r="A32" s="85" t="s">
        <v>364</v>
      </c>
      <c r="B32" s="71">
        <f>+B19+B22+B25</f>
        <v>0</v>
      </c>
      <c r="C32" s="71">
        <f aca="true" t="shared" si="14" ref="C32:M32">+C19+C22+C25</f>
        <v>0</v>
      </c>
      <c r="D32" s="71">
        <f t="shared" si="14"/>
        <v>0</v>
      </c>
      <c r="E32" s="71">
        <f t="shared" si="14"/>
        <v>0</v>
      </c>
      <c r="F32" s="71">
        <f t="shared" si="14"/>
        <v>0</v>
      </c>
      <c r="G32" s="71">
        <f t="shared" si="14"/>
        <v>0</v>
      </c>
      <c r="H32" s="71">
        <f t="shared" si="14"/>
        <v>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86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</row>
  </sheetData>
  <sheetProtection/>
  <hyperlinks>
    <hyperlink ref="A1" location="Explicaciones!A226" display="BALANCE PREVISIONAL"/>
    <hyperlink ref="A2" location="Explicaciones!A233" display="INMOVILIZADO"/>
    <hyperlink ref="A3" location="Explicaciones!A245" display="1. Gastos establecimiento"/>
    <hyperlink ref="A4" location="Explicaciones!A255" display="    Amortización Acumulada G. Establecimiento"/>
    <hyperlink ref="A5" location="Explicaciones!A261" display="2. Inmovilizado Inmaterial"/>
    <hyperlink ref="A6" location="Explicaciones!A272" display="    Amortización Acumulada Inmov. Inmat"/>
    <hyperlink ref="A7" location="Explicaciones!A280" display="3. Inmovilizado Material"/>
    <hyperlink ref="A8" location="Explicaciones!A290" display="   Amortización Acumulada Inmov Mat."/>
    <hyperlink ref="A9" location="Explicaciones!A298" display="4. Inmovilizado financiero"/>
    <hyperlink ref="A11" location="Explicaciones!A160" display="1. Existencias (stock)"/>
    <hyperlink ref="A12" location="Explicaciones!A309" display="2. Deudores"/>
    <hyperlink ref="A13" location="Explicaciones!A315" display="   Clientes"/>
    <hyperlink ref="A20" location="Explicaciones!A134" display="1. Capital suscrito"/>
    <hyperlink ref="A14" location="Explicaciones!A322" display="   Crédito por pérdidas a compensar del ejerc."/>
    <hyperlink ref="A15" location="Explicaciones!A328" display="   Hacienda Pública, IVA soportado"/>
    <hyperlink ref="A16" location="Explicaciones!A334" display="3. Tesorería"/>
    <hyperlink ref="A21" location="Explicaciones!A339" display="2. Pérdidas y Ganancias"/>
    <hyperlink ref="A23" location="Explicaciones!A344" display="1. Deudas con entidades de crédito a l/p"/>
    <hyperlink ref="A24" location="Explicaciones!A350" display="2. Otros acreedores"/>
    <hyperlink ref="A26" location="Explicaciones!A356" display="1. Acreedores comerciales"/>
    <hyperlink ref="A27" location="Explicaciones!A364" display="2. Otras deudas no comerciales"/>
    <hyperlink ref="A28" location="Explicaciones!A369" display="    Hacienda Pública, IVA repercutido"/>
    <hyperlink ref="A29" location="Explicaciones!A375" display="    Hacienda Pública, retenciones trabajadores"/>
    <hyperlink ref="A30" location="Explicaciones!A383" display="    Remuneraciones pendientes de pago"/>
    <hyperlink ref="A31" location="Explicaciones!A392" display="    Hacienda Pública, acreedor por imp. Soc."/>
  </hyperlinks>
  <printOptions horizontalCentered="1" verticalCentered="1"/>
  <pageMargins left="0.1968503937007874" right="0.1968503937007874" top="0.984251968503937" bottom="0.1968503937007874" header="0" footer="0"/>
  <pageSetup horizontalDpi="300" verticalDpi="300" orientation="landscape" paperSize="9" scale="91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C27" sqref="C27"/>
    </sheetView>
  </sheetViews>
  <sheetFormatPr defaultColWidth="11.421875" defaultRowHeight="12.75"/>
  <cols>
    <col min="1" max="1" width="39.28125" style="0" customWidth="1"/>
    <col min="2" max="3" width="32.8515625" style="0" customWidth="1"/>
  </cols>
  <sheetData>
    <row r="1" spans="1:3" ht="13.5" thickBot="1">
      <c r="A1" s="173" t="s">
        <v>396</v>
      </c>
      <c r="B1" s="174"/>
      <c r="C1" s="175"/>
    </row>
    <row r="2" spans="1:3" ht="12.75">
      <c r="A2" s="121"/>
      <c r="B2" s="121"/>
      <c r="C2" s="121"/>
    </row>
    <row r="3" spans="1:3" ht="13.5" thickBot="1">
      <c r="A3" s="122"/>
      <c r="B3" s="122"/>
      <c r="C3" s="122"/>
    </row>
    <row r="4" spans="1:3" ht="13.5" thickBot="1">
      <c r="A4" s="123"/>
      <c r="B4" s="124" t="s">
        <v>397</v>
      </c>
      <c r="C4" s="125" t="s">
        <v>398</v>
      </c>
    </row>
    <row r="5" spans="1:3" ht="12.75">
      <c r="A5" s="126" t="s">
        <v>74</v>
      </c>
      <c r="B5" s="127">
        <f>B6</f>
        <v>0</v>
      </c>
      <c r="C5" s="128">
        <f>C6</f>
        <v>0</v>
      </c>
    </row>
    <row r="6" spans="1:3" ht="12.75">
      <c r="A6" s="129" t="s">
        <v>106</v>
      </c>
      <c r="B6" s="130">
        <f>'P y G'!N3*1.26</f>
        <v>0</v>
      </c>
      <c r="C6" s="130">
        <f>B6*1.2</f>
        <v>0</v>
      </c>
    </row>
    <row r="7" spans="1:3" ht="12.75">
      <c r="A7" s="131" t="s">
        <v>75</v>
      </c>
      <c r="B7" s="127">
        <f>SUM(B8:B11)</f>
        <v>0</v>
      </c>
      <c r="C7" s="127">
        <f>SUM(C8:C11)</f>
        <v>0</v>
      </c>
    </row>
    <row r="8" spans="1:3" ht="12.75">
      <c r="A8" s="129" t="s">
        <v>107</v>
      </c>
      <c r="B8" s="130">
        <f>'P y G'!N5*1.26</f>
        <v>0</v>
      </c>
      <c r="C8" s="132">
        <f>B8*1.2</f>
        <v>0</v>
      </c>
    </row>
    <row r="9" spans="1:3" ht="12.75">
      <c r="A9" s="129" t="s">
        <v>108</v>
      </c>
      <c r="B9" s="130">
        <f>'P y G'!N6*1.03</f>
        <v>0</v>
      </c>
      <c r="C9" s="132">
        <f>B9*1.03</f>
        <v>0</v>
      </c>
    </row>
    <row r="10" spans="1:3" ht="12.75">
      <c r="A10" s="133" t="s">
        <v>109</v>
      </c>
      <c r="B10" s="130">
        <f>'P y G'!N7*1.03</f>
        <v>0</v>
      </c>
      <c r="C10" s="132">
        <f>B10*1.03</f>
        <v>0</v>
      </c>
    </row>
    <row r="11" spans="1:3" ht="12.75">
      <c r="A11" s="129" t="s">
        <v>116</v>
      </c>
      <c r="B11" s="130">
        <f>'P y G'!N14</f>
        <v>0</v>
      </c>
      <c r="C11" s="130">
        <f>'P y G'!N14</f>
        <v>0</v>
      </c>
    </row>
    <row r="12" spans="1:3" ht="12.75">
      <c r="A12" s="131" t="s">
        <v>117</v>
      </c>
      <c r="B12" s="127">
        <f>B5-B7</f>
        <v>0</v>
      </c>
      <c r="C12" s="127">
        <f>C5-C7</f>
        <v>0</v>
      </c>
    </row>
    <row r="13" spans="1:3" ht="12.75">
      <c r="A13" s="129" t="s">
        <v>118</v>
      </c>
      <c r="B13" s="130">
        <f>'P y G'!N16-13</f>
        <v>-13</v>
      </c>
      <c r="C13" s="130">
        <f>B13-13</f>
        <v>-26</v>
      </c>
    </row>
    <row r="14" spans="1:3" ht="12.75">
      <c r="A14" s="131" t="s">
        <v>119</v>
      </c>
      <c r="B14" s="127">
        <f>B12-B13</f>
        <v>13</v>
      </c>
      <c r="C14" s="127">
        <f>C12-C13</f>
        <v>26</v>
      </c>
    </row>
    <row r="15" spans="1:3" ht="12.75">
      <c r="A15" s="129" t="s">
        <v>120</v>
      </c>
      <c r="B15" s="130">
        <v>0</v>
      </c>
      <c r="C15" s="132">
        <v>0</v>
      </c>
    </row>
    <row r="16" spans="1:3" ht="12.75">
      <c r="A16" s="129" t="s">
        <v>121</v>
      </c>
      <c r="B16" s="130">
        <v>0</v>
      </c>
      <c r="C16" s="132">
        <v>0</v>
      </c>
    </row>
    <row r="17" spans="1:3" ht="12.75">
      <c r="A17" s="131" t="s">
        <v>122</v>
      </c>
      <c r="B17" s="127">
        <f>SUM(B14,B15-B16)</f>
        <v>13</v>
      </c>
      <c r="C17" s="127">
        <f>SUM(C14,C15-C16)</f>
        <v>26</v>
      </c>
    </row>
    <row r="18" spans="1:3" ht="12.75">
      <c r="A18" s="129" t="s">
        <v>123</v>
      </c>
      <c r="B18" s="130">
        <v>0</v>
      </c>
      <c r="C18" s="132">
        <v>0</v>
      </c>
    </row>
    <row r="19" spans="1:3" ht="13.5" thickBot="1">
      <c r="A19" s="134" t="s">
        <v>124</v>
      </c>
      <c r="B19" s="135">
        <f>B17-B18</f>
        <v>13</v>
      </c>
      <c r="C19" s="135">
        <f>C17-C18</f>
        <v>26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headerFooter alignWithMargins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60" zoomScalePageLayoutView="0" workbookViewId="0" topLeftCell="A1">
      <selection activeCell="B50" sqref="B50"/>
    </sheetView>
  </sheetViews>
  <sheetFormatPr defaultColWidth="11.421875" defaultRowHeight="12.75"/>
  <cols>
    <col min="1" max="1" width="43.7109375" style="0" customWidth="1"/>
    <col min="2" max="2" width="36.140625" style="0" customWidth="1"/>
    <col min="3" max="3" width="37.7109375" style="0" customWidth="1"/>
  </cols>
  <sheetData>
    <row r="1" spans="1:3" ht="13.5" thickBot="1">
      <c r="A1" s="173" t="s">
        <v>399</v>
      </c>
      <c r="B1" s="176"/>
      <c r="C1" s="177"/>
    </row>
    <row r="3" ht="13.5" thickBot="1"/>
    <row r="4" spans="1:3" ht="13.5" thickBot="1">
      <c r="A4" s="136"/>
      <c r="B4" s="137" t="s">
        <v>397</v>
      </c>
      <c r="C4" s="138" t="s">
        <v>398</v>
      </c>
    </row>
    <row r="5" spans="1:3" ht="12.75">
      <c r="A5" s="139" t="s">
        <v>339</v>
      </c>
      <c r="B5" s="140"/>
      <c r="C5" s="141"/>
    </row>
    <row r="6" spans="1:3" ht="12.75">
      <c r="A6" s="142" t="s">
        <v>126</v>
      </c>
      <c r="B6" s="127">
        <f>SUM(B7:B13)</f>
        <v>0</v>
      </c>
      <c r="C6" s="127">
        <f>SUM(C7:C13)</f>
        <v>0</v>
      </c>
    </row>
    <row r="7" spans="1:3" ht="12.75">
      <c r="A7" s="143" t="s">
        <v>127</v>
      </c>
      <c r="B7" s="144">
        <f>Balance!M3</f>
        <v>0</v>
      </c>
      <c r="C7" s="144">
        <f>Balance!M3</f>
        <v>0</v>
      </c>
    </row>
    <row r="8" spans="1:3" ht="12.75">
      <c r="A8" s="143" t="s">
        <v>340</v>
      </c>
      <c r="B8" s="144">
        <f>Balance!M4*2</f>
        <v>0</v>
      </c>
      <c r="C8" s="144">
        <f>Balance!M4*3</f>
        <v>0</v>
      </c>
    </row>
    <row r="9" spans="1:3" ht="12.75">
      <c r="A9" s="143" t="s">
        <v>128</v>
      </c>
      <c r="B9" s="144">
        <v>0</v>
      </c>
      <c r="C9" s="145">
        <v>0</v>
      </c>
    </row>
    <row r="10" spans="1:3" ht="12.75">
      <c r="A10" s="143" t="s">
        <v>341</v>
      </c>
      <c r="B10" s="144">
        <v>0</v>
      </c>
      <c r="C10" s="145">
        <v>0</v>
      </c>
    </row>
    <row r="11" spans="1:3" ht="12.75">
      <c r="A11" s="143" t="s">
        <v>129</v>
      </c>
      <c r="B11" s="144">
        <f>Balance!M7</f>
        <v>0</v>
      </c>
      <c r="C11" s="144">
        <f>Balance!M7</f>
        <v>0</v>
      </c>
    </row>
    <row r="12" spans="1:3" ht="12.75">
      <c r="A12" s="143" t="s">
        <v>342</v>
      </c>
      <c r="B12" s="144">
        <f>Balance!M8*2</f>
        <v>0</v>
      </c>
      <c r="C12" s="144">
        <f>Balance!M8*3</f>
        <v>0</v>
      </c>
    </row>
    <row r="13" spans="1:3" ht="12.75">
      <c r="A13" s="143" t="s">
        <v>130</v>
      </c>
      <c r="B13" s="146">
        <f>Balance!M9</f>
        <v>0</v>
      </c>
      <c r="C13" s="146">
        <f>Balance!M9</f>
        <v>0</v>
      </c>
    </row>
    <row r="14" spans="1:3" ht="12.75">
      <c r="A14" s="147" t="s">
        <v>401</v>
      </c>
      <c r="B14" s="127">
        <f>SUM(B15:B19)</f>
        <v>0</v>
      </c>
      <c r="C14" s="127">
        <f>SUM(C15:C19)</f>
        <v>0</v>
      </c>
    </row>
    <row r="15" spans="1:3" ht="12.75">
      <c r="A15" s="143" t="s">
        <v>344</v>
      </c>
      <c r="B15" s="144">
        <f>Balance!M11</f>
        <v>0</v>
      </c>
      <c r="C15" s="144">
        <f>B15</f>
        <v>0</v>
      </c>
    </row>
    <row r="16" spans="1:3" ht="12.75">
      <c r="A16" s="143" t="s">
        <v>345</v>
      </c>
      <c r="B16" s="144">
        <v>0</v>
      </c>
      <c r="C16" s="145">
        <v>0</v>
      </c>
    </row>
    <row r="17" spans="1:3" ht="12.75">
      <c r="A17" s="143" t="s">
        <v>346</v>
      </c>
      <c r="B17" s="144">
        <v>0</v>
      </c>
      <c r="C17" s="145">
        <v>0</v>
      </c>
    </row>
    <row r="18" spans="1:3" ht="12.75">
      <c r="A18" s="143" t="s">
        <v>347</v>
      </c>
      <c r="B18" s="144">
        <v>0</v>
      </c>
      <c r="C18" s="145">
        <v>0</v>
      </c>
    </row>
    <row r="19" spans="1:3" ht="12.75">
      <c r="A19" s="143" t="s">
        <v>348</v>
      </c>
      <c r="B19" s="144">
        <f>Balance!M15*1.1</f>
        <v>0</v>
      </c>
      <c r="C19" s="145">
        <f>B19*1.1</f>
        <v>0</v>
      </c>
    </row>
    <row r="20" spans="1:3" ht="15" customHeight="1">
      <c r="A20" s="143" t="s">
        <v>400</v>
      </c>
      <c r="B20" s="130">
        <f>SUM(B6,B14)</f>
        <v>0</v>
      </c>
      <c r="C20" s="130">
        <f>C6+C14</f>
        <v>0</v>
      </c>
    </row>
    <row r="21" spans="1:3" ht="12.75">
      <c r="A21" s="143" t="s">
        <v>349</v>
      </c>
      <c r="B21" s="130">
        <f>B37-B20</f>
        <v>-84</v>
      </c>
      <c r="C21" s="130">
        <f>C37-C20</f>
        <v>-311</v>
      </c>
    </row>
    <row r="22" spans="1:3" ht="12.75">
      <c r="A22" s="149" t="s">
        <v>350</v>
      </c>
      <c r="B22" s="150">
        <f>B6+B14+B21</f>
        <v>-84</v>
      </c>
      <c r="C22" s="150">
        <f>C6+C14+C21</f>
        <v>-311</v>
      </c>
    </row>
    <row r="23" spans="1:3" ht="12.75">
      <c r="A23" s="151"/>
      <c r="B23" s="152"/>
      <c r="C23" s="148"/>
    </row>
    <row r="24" spans="1:3" ht="12.75">
      <c r="A24" s="147" t="s">
        <v>351</v>
      </c>
      <c r="B24" s="127">
        <f>SUM(B25:B26)</f>
        <v>0</v>
      </c>
      <c r="C24" s="127">
        <f>SUM(C25:C26)</f>
        <v>13</v>
      </c>
    </row>
    <row r="25" spans="1:3" ht="12.75">
      <c r="A25" s="143" t="s">
        <v>352</v>
      </c>
      <c r="B25" s="152">
        <f>Balance!M20</f>
        <v>0</v>
      </c>
      <c r="C25" s="152">
        <f>Balance!M20</f>
        <v>0</v>
      </c>
    </row>
    <row r="26" spans="1:3" ht="12.75">
      <c r="A26" s="143" t="s">
        <v>353</v>
      </c>
      <c r="B26" s="152">
        <f>'P y G'!N22</f>
        <v>0</v>
      </c>
      <c r="C26" s="152">
        <f>'P y G año 2 y 3'!B19</f>
        <v>13</v>
      </c>
    </row>
    <row r="27" spans="1:3" ht="12.75">
      <c r="A27" s="147" t="s">
        <v>354</v>
      </c>
      <c r="B27" s="127">
        <f>SUM(B28:B29)</f>
        <v>-84</v>
      </c>
      <c r="C27" s="127">
        <f>SUM(C28:C29)</f>
        <v>-324</v>
      </c>
    </row>
    <row r="28" spans="1:3" s="122" customFormat="1" ht="12.75">
      <c r="A28" s="143" t="s">
        <v>355</v>
      </c>
      <c r="B28" s="155">
        <f>(+Balance!M23)-((((Tesorería!M25+1)+(Tesorería!M25+13))/2)*12)</f>
        <v>-84</v>
      </c>
      <c r="C28" s="155">
        <f>(+B28)-((((Tesorería!M25+14)+(Tesorería!M25+26))/2)*12)</f>
        <v>-324</v>
      </c>
    </row>
    <row r="29" spans="1:3" s="122" customFormat="1" ht="12.75">
      <c r="A29" s="143" t="s">
        <v>356</v>
      </c>
      <c r="B29" s="155">
        <f>SUM(Balance!M28+M27)*2</f>
        <v>0</v>
      </c>
      <c r="C29" s="155">
        <f>B29*1.5</f>
        <v>0</v>
      </c>
    </row>
    <row r="30" spans="1:3" ht="12.75">
      <c r="A30" s="147" t="s">
        <v>357</v>
      </c>
      <c r="B30" s="127">
        <f>SUM(B31,B32)</f>
        <v>0</v>
      </c>
      <c r="C30" s="127">
        <f>SUM(C31,C32)</f>
        <v>0</v>
      </c>
    </row>
    <row r="31" spans="1:3" ht="12.75">
      <c r="A31" s="143" t="s">
        <v>358</v>
      </c>
      <c r="B31" s="152">
        <v>0</v>
      </c>
      <c r="C31" s="148">
        <v>0</v>
      </c>
    </row>
    <row r="32" spans="1:3" ht="12.75">
      <c r="A32" s="143" t="s">
        <v>359</v>
      </c>
      <c r="B32" s="152">
        <f>SUM(B33:B36)</f>
        <v>0</v>
      </c>
      <c r="C32" s="152">
        <f>SUM(C33:C36)</f>
        <v>0</v>
      </c>
    </row>
    <row r="33" spans="1:3" ht="12.75">
      <c r="A33" s="143" t="s">
        <v>360</v>
      </c>
      <c r="B33" s="152">
        <f>Balance!M28*1.1</f>
        <v>0</v>
      </c>
      <c r="C33" s="148">
        <f>B33*1.1</f>
        <v>0</v>
      </c>
    </row>
    <row r="34" spans="1:3" ht="12.75">
      <c r="A34" s="143" t="s">
        <v>361</v>
      </c>
      <c r="B34" s="155">
        <f>SUM(Balance!B29:(Balance!M29))*1.3</f>
        <v>0</v>
      </c>
      <c r="C34" s="158">
        <f>B34*1.3</f>
        <v>0</v>
      </c>
    </row>
    <row r="35" spans="1:3" ht="12.75">
      <c r="A35" s="143" t="s">
        <v>362</v>
      </c>
      <c r="B35" s="155">
        <f>SUM(Balance!B30:(Balance!M30))*1.3</f>
        <v>0</v>
      </c>
      <c r="C35" s="158">
        <f>B35*1.3</f>
        <v>0</v>
      </c>
    </row>
    <row r="36" spans="1:3" s="156" customFormat="1" ht="12.75">
      <c r="A36" s="143" t="s">
        <v>363</v>
      </c>
      <c r="B36" s="155"/>
      <c r="C36" s="155"/>
    </row>
    <row r="37" spans="1:3" ht="13.5" thickBot="1">
      <c r="A37" s="153" t="s">
        <v>364</v>
      </c>
      <c r="B37" s="135">
        <f>SUM(B24,B27,B30)</f>
        <v>-84</v>
      </c>
      <c r="C37" s="135">
        <f>SUM(C24,C27,C30)</f>
        <v>-311</v>
      </c>
    </row>
    <row r="41" spans="1:2" ht="12.75">
      <c r="A41" s="157"/>
      <c r="B41" s="154"/>
    </row>
  </sheetData>
  <sheetProtection/>
  <mergeCells count="1">
    <mergeCell ref="A1:C1"/>
  </mergeCells>
  <hyperlinks>
    <hyperlink ref="A5" location="Explicaciones!A226" display="BALANCE PREVISIONAL"/>
    <hyperlink ref="A6" location="Explicaciones!A233" display="INMOVILIZADO"/>
    <hyperlink ref="A7" location="Explicaciones!A245" display="1. Gastos establecimiento"/>
    <hyperlink ref="A8" location="Explicaciones!A255" display="    Amortización Acumulada G. Establecimiento"/>
    <hyperlink ref="A9" location="Explicaciones!A261" display="2. Inmovilizado Inmaterial"/>
    <hyperlink ref="A10" location="Explicaciones!A272" display="    Amortización Acumulada Inmov. Inmat"/>
    <hyperlink ref="A11" location="Explicaciones!A280" display="3. Inmovilizado Material"/>
    <hyperlink ref="A12" location="Explicaciones!A290" display="   Amortización Acumulada Inmov Mat."/>
    <hyperlink ref="A13" location="Explicaciones!A298" display="4. Inmovilizado financiero"/>
    <hyperlink ref="A15" location="Explicaciones!A160" display="1. Existencias (stock)"/>
    <hyperlink ref="A16" location="Explicaciones!A309" display="2. Deudores"/>
    <hyperlink ref="A17" location="Explicaciones!A315" display="   Clientes"/>
    <hyperlink ref="A25" location="Explicaciones!A134" display="1. Capital suscrito"/>
    <hyperlink ref="A18" location="Explicaciones!A322" display="   Crédito por pérdidas a compensar del ejerc."/>
    <hyperlink ref="A19" location="Explicaciones!A328" display="   Hacienda Pública, IVA soportado"/>
    <hyperlink ref="A21" location="Explicaciones!A334" display="3. Tesorería"/>
    <hyperlink ref="A26" location="Explicaciones!A339" display="2. Pérdidas y Ganancias"/>
    <hyperlink ref="A28" location="Explicaciones!A344" display="1. Deudas con entidades de crédito a l/p"/>
    <hyperlink ref="A29" location="Explicaciones!A350" display="2. Otros acreedores"/>
    <hyperlink ref="A31" location="Explicaciones!A356" display="1. Acreedores comerciales"/>
    <hyperlink ref="A32" location="Explicaciones!A364" display="2. Otras deudas no comerciales"/>
    <hyperlink ref="A33" location="Explicaciones!A369" display="    Hacienda Pública, IVA repercutido"/>
    <hyperlink ref="A34" location="Explicaciones!A375" display="    Hacienda Pública, retenciones trabajadores"/>
    <hyperlink ref="A35" location="Explicaciones!A383" display="    Remuneraciones pendientes de pago"/>
    <hyperlink ref="A36" location="Explicaciones!A392" display="    Hacienda Pública, acreedor por imp. Soc."/>
  </hyperlinks>
  <printOptions horizontalCentered="1" verticalCentered="1"/>
  <pageMargins left="0.7874015748031497" right="0.7874015748031497" top="0.984251968503937" bottom="0.4724409448818898" header="0" footer="0"/>
  <pageSetup horizontalDpi="300" verticalDpi="300" orientation="landscape" paperSize="9" scale="92" r:id="rId2"/>
  <headerFooter alignWithMargins="0"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94"/>
  <sheetViews>
    <sheetView tabSelected="1" zoomScalePageLayoutView="0" workbookViewId="0" topLeftCell="A1">
      <selection activeCell="A364" sqref="A364"/>
    </sheetView>
  </sheetViews>
  <sheetFormatPr defaultColWidth="11.421875" defaultRowHeight="12.75"/>
  <cols>
    <col min="1" max="1" width="116.8515625" style="46" customWidth="1"/>
    <col min="2" max="16384" width="11.421875" style="46" customWidth="1"/>
  </cols>
  <sheetData>
    <row r="1" ht="18.75" thickBot="1">
      <c r="A1" s="67" t="s">
        <v>133</v>
      </c>
    </row>
    <row r="3" ht="12.75">
      <c r="A3" s="44" t="s">
        <v>134</v>
      </c>
    </row>
    <row r="4" ht="12.75">
      <c r="A4" s="46" t="s">
        <v>135</v>
      </c>
    </row>
    <row r="5" ht="12.75">
      <c r="A5" s="46" t="s">
        <v>136</v>
      </c>
    </row>
    <row r="6" ht="12.75">
      <c r="A6" s="46" t="s">
        <v>137</v>
      </c>
    </row>
    <row r="7" ht="12.75">
      <c r="A7" s="46" t="s">
        <v>138</v>
      </c>
    </row>
    <row r="8" ht="12.75">
      <c r="A8" s="68" t="s">
        <v>139</v>
      </c>
    </row>
    <row r="11" ht="12.75">
      <c r="A11" s="44" t="s">
        <v>140</v>
      </c>
    </row>
    <row r="12" ht="12.75">
      <c r="A12" s="46" t="s">
        <v>141</v>
      </c>
    </row>
    <row r="13" ht="12.75">
      <c r="A13" s="46" t="s">
        <v>142</v>
      </c>
    </row>
    <row r="14" ht="12.75">
      <c r="A14" s="46" t="s">
        <v>143</v>
      </c>
    </row>
    <row r="15" ht="12.75">
      <c r="A15" s="46" t="s">
        <v>144</v>
      </c>
    </row>
    <row r="16" ht="12.75">
      <c r="A16" s="46" t="s">
        <v>145</v>
      </c>
    </row>
    <row r="17" ht="12.75">
      <c r="A17" s="46" t="s">
        <v>146</v>
      </c>
    </row>
    <row r="18" ht="12.75">
      <c r="A18" s="68" t="s">
        <v>139</v>
      </c>
    </row>
    <row r="21" ht="12.75">
      <c r="A21" s="44" t="s">
        <v>147</v>
      </c>
    </row>
    <row r="22" ht="12.75">
      <c r="A22" s="46" t="s">
        <v>148</v>
      </c>
    </row>
    <row r="23" ht="12.75">
      <c r="A23" s="46" t="s">
        <v>149</v>
      </c>
    </row>
    <row r="24" ht="12.75">
      <c r="A24" s="46" t="s">
        <v>150</v>
      </c>
    </row>
    <row r="25" ht="12.75">
      <c r="A25" s="46" t="s">
        <v>151</v>
      </c>
    </row>
    <row r="26" ht="12.75">
      <c r="A26" s="46" t="s">
        <v>152</v>
      </c>
    </row>
    <row r="27" ht="12.75">
      <c r="A27" s="68" t="s">
        <v>139</v>
      </c>
    </row>
    <row r="30" ht="12.75">
      <c r="A30" s="44" t="s">
        <v>153</v>
      </c>
    </row>
    <row r="31" ht="12.75">
      <c r="A31" s="46" t="s">
        <v>154</v>
      </c>
    </row>
    <row r="32" ht="12.75">
      <c r="A32" s="68" t="s">
        <v>139</v>
      </c>
    </row>
    <row r="35" ht="12.75">
      <c r="A35" s="44" t="s">
        <v>155</v>
      </c>
    </row>
    <row r="36" ht="12.75">
      <c r="A36" s="46" t="s">
        <v>156</v>
      </c>
    </row>
    <row r="37" ht="12.75">
      <c r="A37" s="46" t="s">
        <v>157</v>
      </c>
    </row>
    <row r="38" ht="12.75">
      <c r="A38" s="46" t="s">
        <v>158</v>
      </c>
    </row>
    <row r="39" ht="12.75">
      <c r="A39" s="69" t="s">
        <v>159</v>
      </c>
    </row>
    <row r="40" ht="12.75">
      <c r="A40" s="68" t="s">
        <v>139</v>
      </c>
    </row>
    <row r="43" ht="12.75">
      <c r="A43" s="44" t="s">
        <v>160</v>
      </c>
    </row>
    <row r="44" ht="12.75">
      <c r="A44" s="46" t="s">
        <v>161</v>
      </c>
    </row>
    <row r="45" ht="12.75">
      <c r="A45" s="46" t="s">
        <v>162</v>
      </c>
    </row>
    <row r="46" ht="12.75">
      <c r="A46" s="68" t="s">
        <v>139</v>
      </c>
    </row>
    <row r="49" ht="12.75">
      <c r="A49" s="44" t="s">
        <v>58</v>
      </c>
    </row>
    <row r="50" ht="12.75">
      <c r="A50" s="46" t="s">
        <v>163</v>
      </c>
    </row>
    <row r="51" ht="12.75">
      <c r="A51" s="46" t="s">
        <v>164</v>
      </c>
    </row>
    <row r="52" ht="12.75">
      <c r="A52" s="68" t="s">
        <v>139</v>
      </c>
    </row>
    <row r="55" ht="12.75">
      <c r="A55" s="44" t="s">
        <v>165</v>
      </c>
    </row>
    <row r="56" s="44" customFormat="1" ht="12.75">
      <c r="A56" s="46" t="s">
        <v>166</v>
      </c>
    </row>
    <row r="57" ht="12.75">
      <c r="A57" s="46" t="s">
        <v>167</v>
      </c>
    </row>
    <row r="58" ht="12.75">
      <c r="A58" s="68" t="s">
        <v>139</v>
      </c>
    </row>
    <row r="61" ht="12.75">
      <c r="A61" s="44" t="s">
        <v>168</v>
      </c>
    </row>
    <row r="62" ht="12.75">
      <c r="A62" s="46" t="s">
        <v>169</v>
      </c>
    </row>
    <row r="63" ht="12.75">
      <c r="A63" s="46" t="s">
        <v>170</v>
      </c>
    </row>
    <row r="64" ht="12.75">
      <c r="A64" s="68" t="s">
        <v>139</v>
      </c>
    </row>
    <row r="67" ht="12.75">
      <c r="A67" s="44" t="s">
        <v>171</v>
      </c>
    </row>
    <row r="68" ht="12.75">
      <c r="A68" s="46" t="s">
        <v>172</v>
      </c>
    </row>
    <row r="69" ht="12.75">
      <c r="A69" s="68" t="s">
        <v>139</v>
      </c>
    </row>
    <row r="72" ht="12.75">
      <c r="A72" s="44" t="s">
        <v>173</v>
      </c>
    </row>
    <row r="73" ht="12.75">
      <c r="A73" s="46" t="s">
        <v>174</v>
      </c>
    </row>
    <row r="74" ht="12.75">
      <c r="A74" s="46" t="s">
        <v>175</v>
      </c>
    </row>
    <row r="75" ht="12.75">
      <c r="A75" s="46" t="s">
        <v>176</v>
      </c>
    </row>
    <row r="76" ht="12.75">
      <c r="A76" s="46" t="s">
        <v>177</v>
      </c>
    </row>
    <row r="77" ht="12.75">
      <c r="A77" s="46" t="s">
        <v>178</v>
      </c>
    </row>
    <row r="78" ht="12.75">
      <c r="A78" s="46" t="s">
        <v>179</v>
      </c>
    </row>
    <row r="79" ht="12.75">
      <c r="A79" s="46" t="s">
        <v>180</v>
      </c>
    </row>
    <row r="80" ht="12.75">
      <c r="A80" s="46" t="s">
        <v>181</v>
      </c>
    </row>
    <row r="81" ht="12.75">
      <c r="A81" s="68" t="s">
        <v>139</v>
      </c>
    </row>
    <row r="84" ht="12.75">
      <c r="A84" s="44" t="s">
        <v>131</v>
      </c>
    </row>
    <row r="85" ht="12.75">
      <c r="A85" s="46" t="s">
        <v>182</v>
      </c>
    </row>
    <row r="86" ht="12.75">
      <c r="A86" s="46" t="s">
        <v>183</v>
      </c>
    </row>
    <row r="87" ht="12.75">
      <c r="A87" s="68" t="s">
        <v>139</v>
      </c>
    </row>
    <row r="90" ht="12.75">
      <c r="A90" s="44" t="s">
        <v>125</v>
      </c>
    </row>
    <row r="91" ht="12.75">
      <c r="A91" s="46" t="s">
        <v>184</v>
      </c>
    </row>
    <row r="92" ht="12.75">
      <c r="A92" s="46" t="s">
        <v>185</v>
      </c>
    </row>
    <row r="93" ht="12.75">
      <c r="A93" s="68" t="s">
        <v>139</v>
      </c>
    </row>
    <row r="96" ht="12.75">
      <c r="A96" s="44" t="s">
        <v>132</v>
      </c>
    </row>
    <row r="97" ht="12.75">
      <c r="A97" s="46" t="s">
        <v>186</v>
      </c>
    </row>
    <row r="98" ht="12.75">
      <c r="A98" s="46" t="s">
        <v>187</v>
      </c>
    </row>
    <row r="99" ht="12.75">
      <c r="A99" s="68" t="s">
        <v>139</v>
      </c>
    </row>
    <row r="102" ht="12.75">
      <c r="A102" s="44" t="s">
        <v>188</v>
      </c>
    </row>
    <row r="103" ht="12.75">
      <c r="A103" s="46" t="s">
        <v>189</v>
      </c>
    </row>
    <row r="104" ht="12.75">
      <c r="A104" s="46" t="s">
        <v>190</v>
      </c>
    </row>
    <row r="105" ht="12.75">
      <c r="A105" s="68" t="s">
        <v>139</v>
      </c>
    </row>
    <row r="108" ht="12.75">
      <c r="A108" s="44" t="s">
        <v>191</v>
      </c>
    </row>
    <row r="109" ht="12.75">
      <c r="A109" s="46" t="s">
        <v>192</v>
      </c>
    </row>
    <row r="110" ht="12.75">
      <c r="A110" s="46" t="s">
        <v>193</v>
      </c>
    </row>
    <row r="111" ht="12.75">
      <c r="A111" s="46" t="s">
        <v>194</v>
      </c>
    </row>
    <row r="112" ht="12.75">
      <c r="A112" s="46" t="s">
        <v>195</v>
      </c>
    </row>
    <row r="113" ht="12.75">
      <c r="A113" s="68" t="s">
        <v>196</v>
      </c>
    </row>
    <row r="116" ht="12.75">
      <c r="A116" s="44" t="s">
        <v>197</v>
      </c>
    </row>
    <row r="117" ht="12.75">
      <c r="A117" s="46" t="s">
        <v>198</v>
      </c>
    </row>
    <row r="118" ht="12.75">
      <c r="A118" s="46" t="s">
        <v>199</v>
      </c>
    </row>
    <row r="119" ht="12.75">
      <c r="A119" s="46" t="s">
        <v>200</v>
      </c>
    </row>
    <row r="120" ht="12.75">
      <c r="A120" s="46" t="s">
        <v>201</v>
      </c>
    </row>
    <row r="121" ht="12.75">
      <c r="A121" s="68" t="s">
        <v>196</v>
      </c>
    </row>
    <row r="123" ht="12.75">
      <c r="A123" s="44" t="s">
        <v>202</v>
      </c>
    </row>
    <row r="124" ht="12.75">
      <c r="A124" s="46" t="s">
        <v>203</v>
      </c>
    </row>
    <row r="125" ht="12.75">
      <c r="A125" s="46" t="s">
        <v>204</v>
      </c>
    </row>
    <row r="126" ht="12.75">
      <c r="A126" s="68" t="s">
        <v>196</v>
      </c>
    </row>
    <row r="129" ht="12.75">
      <c r="A129" s="44" t="s">
        <v>205</v>
      </c>
    </row>
    <row r="130" ht="12.75">
      <c r="A130" s="46" t="s">
        <v>206</v>
      </c>
    </row>
    <row r="131" ht="12.75">
      <c r="A131" s="68" t="s">
        <v>196</v>
      </c>
    </row>
    <row r="134" ht="12.75">
      <c r="A134" s="44" t="s">
        <v>207</v>
      </c>
    </row>
    <row r="135" ht="12.75">
      <c r="A135" s="45" t="s">
        <v>208</v>
      </c>
    </row>
    <row r="136" ht="12.75">
      <c r="A136" s="45" t="s">
        <v>209</v>
      </c>
    </row>
    <row r="137" ht="12.75">
      <c r="A137" s="68" t="s">
        <v>196</v>
      </c>
    </row>
    <row r="138" ht="12.75">
      <c r="A138" s="68" t="s">
        <v>210</v>
      </c>
    </row>
    <row r="139" ht="12.75">
      <c r="A139" s="44"/>
    </row>
    <row r="140" ht="12.75">
      <c r="A140" s="44" t="s">
        <v>211</v>
      </c>
    </row>
    <row r="141" ht="12.75">
      <c r="A141" s="45" t="s">
        <v>212</v>
      </c>
    </row>
    <row r="142" ht="12.75">
      <c r="A142" s="45" t="s">
        <v>213</v>
      </c>
    </row>
    <row r="143" ht="12.75">
      <c r="A143" s="68" t="s">
        <v>196</v>
      </c>
    </row>
    <row r="144" ht="12.75">
      <c r="A144" s="68"/>
    </row>
    <row r="146" ht="12.75">
      <c r="A146" s="44" t="s">
        <v>214</v>
      </c>
    </row>
    <row r="147" ht="12.75">
      <c r="A147" s="46" t="s">
        <v>215</v>
      </c>
    </row>
    <row r="148" ht="12.75">
      <c r="A148" s="46" t="s">
        <v>216</v>
      </c>
    </row>
    <row r="149" ht="12.75">
      <c r="A149" s="46" t="s">
        <v>217</v>
      </c>
    </row>
    <row r="150" ht="12.75">
      <c r="A150" s="68" t="s">
        <v>196</v>
      </c>
    </row>
    <row r="153" ht="12.75">
      <c r="A153" s="44" t="s">
        <v>218</v>
      </c>
    </row>
    <row r="154" ht="12.75">
      <c r="A154" s="46" t="s">
        <v>219</v>
      </c>
    </row>
    <row r="155" ht="12.75">
      <c r="A155" s="46" t="s">
        <v>220</v>
      </c>
    </row>
    <row r="156" ht="12.75">
      <c r="A156" s="46" t="s">
        <v>221</v>
      </c>
    </row>
    <row r="157" ht="12.75">
      <c r="A157" s="68" t="s">
        <v>196</v>
      </c>
    </row>
    <row r="160" ht="12.75">
      <c r="A160" s="44" t="s">
        <v>222</v>
      </c>
    </row>
    <row r="161" ht="12.75">
      <c r="A161" s="46" t="s">
        <v>223</v>
      </c>
    </row>
    <row r="162" ht="12.75">
      <c r="A162" s="46" t="s">
        <v>224</v>
      </c>
    </row>
    <row r="163" ht="12.75">
      <c r="A163" s="68" t="s">
        <v>196</v>
      </c>
    </row>
    <row r="164" ht="12.75">
      <c r="A164" s="68" t="s">
        <v>210</v>
      </c>
    </row>
    <row r="165" ht="12.75">
      <c r="A165" s="68"/>
    </row>
    <row r="167" ht="12.75">
      <c r="A167" s="44" t="s">
        <v>153</v>
      </c>
    </row>
    <row r="168" ht="12.75">
      <c r="A168" s="46" t="s">
        <v>225</v>
      </c>
    </row>
    <row r="169" ht="12.75">
      <c r="A169" s="46" t="s">
        <v>226</v>
      </c>
    </row>
    <row r="170" ht="12.75">
      <c r="A170" s="68" t="s">
        <v>196</v>
      </c>
    </row>
    <row r="173" ht="12.75">
      <c r="A173" s="44" t="s">
        <v>227</v>
      </c>
    </row>
    <row r="174" ht="12.75">
      <c r="A174" s="46" t="s">
        <v>228</v>
      </c>
    </row>
    <row r="175" ht="12.75">
      <c r="A175" s="46" t="s">
        <v>229</v>
      </c>
    </row>
    <row r="176" ht="12.75">
      <c r="A176" s="46" t="s">
        <v>230</v>
      </c>
    </row>
    <row r="177" ht="12.75">
      <c r="A177" s="68" t="s">
        <v>196</v>
      </c>
    </row>
    <row r="180" ht="12.75">
      <c r="A180" s="44" t="s">
        <v>231</v>
      </c>
    </row>
    <row r="181" ht="12.75">
      <c r="A181" s="46" t="s">
        <v>232</v>
      </c>
    </row>
    <row r="182" ht="12.75">
      <c r="A182" s="46" t="s">
        <v>233</v>
      </c>
    </row>
    <row r="183" ht="12.75">
      <c r="A183" s="46" t="s">
        <v>234</v>
      </c>
    </row>
    <row r="184" ht="12.75">
      <c r="A184" s="46" t="s">
        <v>235</v>
      </c>
    </row>
    <row r="185" ht="12.75">
      <c r="A185" s="68" t="s">
        <v>196</v>
      </c>
    </row>
    <row r="188" ht="12.75">
      <c r="A188" s="44" t="s">
        <v>236</v>
      </c>
    </row>
    <row r="189" ht="12.75">
      <c r="A189" s="46" t="s">
        <v>237</v>
      </c>
    </row>
    <row r="190" ht="12.75">
      <c r="A190" s="46" t="s">
        <v>238</v>
      </c>
    </row>
    <row r="191" ht="12.75">
      <c r="A191" s="46" t="s">
        <v>239</v>
      </c>
    </row>
    <row r="192" ht="12.75">
      <c r="A192" s="46" t="s">
        <v>240</v>
      </c>
    </row>
    <row r="193" ht="12.75">
      <c r="A193" s="68" t="s">
        <v>196</v>
      </c>
    </row>
    <row r="196" ht="12.75">
      <c r="A196" s="44" t="s">
        <v>241</v>
      </c>
    </row>
    <row r="197" ht="12.75">
      <c r="A197" s="46" t="s">
        <v>242</v>
      </c>
    </row>
    <row r="198" ht="12.75">
      <c r="A198" s="46" t="s">
        <v>243</v>
      </c>
    </row>
    <row r="199" ht="12.75">
      <c r="A199" s="46" t="s">
        <v>244</v>
      </c>
    </row>
    <row r="200" ht="12.75">
      <c r="A200" s="68" t="s">
        <v>196</v>
      </c>
    </row>
    <row r="203" ht="12.75">
      <c r="A203" s="44" t="s">
        <v>245</v>
      </c>
    </row>
    <row r="204" ht="12.75">
      <c r="A204" s="46" t="s">
        <v>246</v>
      </c>
    </row>
    <row r="205" ht="12.75">
      <c r="A205" s="46" t="s">
        <v>247</v>
      </c>
    </row>
    <row r="206" ht="12.75">
      <c r="A206" s="68" t="s">
        <v>196</v>
      </c>
    </row>
    <row r="209" ht="12.75">
      <c r="A209" s="44" t="s">
        <v>131</v>
      </c>
    </row>
    <row r="210" ht="12.75">
      <c r="A210" s="46" t="s">
        <v>182</v>
      </c>
    </row>
    <row r="211" ht="12.75">
      <c r="A211" s="46" t="s">
        <v>183</v>
      </c>
    </row>
    <row r="212" ht="12.75">
      <c r="A212" s="68" t="s">
        <v>196</v>
      </c>
    </row>
    <row r="213" ht="12.75">
      <c r="A213" s="68"/>
    </row>
    <row r="214" ht="12.75">
      <c r="A214" s="68"/>
    </row>
    <row r="215" ht="12.75">
      <c r="A215" s="44" t="s">
        <v>132</v>
      </c>
    </row>
    <row r="216" ht="12.75">
      <c r="A216" s="46" t="s">
        <v>186</v>
      </c>
    </row>
    <row r="217" ht="12.75">
      <c r="A217" s="46" t="s">
        <v>248</v>
      </c>
    </row>
    <row r="218" ht="12.75">
      <c r="A218" s="68" t="s">
        <v>196</v>
      </c>
    </row>
    <row r="221" ht="12.75">
      <c r="A221" s="44" t="s">
        <v>249</v>
      </c>
    </row>
    <row r="222" ht="12.75">
      <c r="A222" s="46" t="s">
        <v>250</v>
      </c>
    </row>
    <row r="223" ht="12.75">
      <c r="A223" s="68" t="s">
        <v>196</v>
      </c>
    </row>
    <row r="226" ht="12.75">
      <c r="A226" s="44" t="s">
        <v>251</v>
      </c>
    </row>
    <row r="227" ht="12.75">
      <c r="A227" s="46" t="s">
        <v>252</v>
      </c>
    </row>
    <row r="228" ht="12.75">
      <c r="A228" s="46" t="s">
        <v>253</v>
      </c>
    </row>
    <row r="229" ht="12.75">
      <c r="A229" s="46" t="s">
        <v>254</v>
      </c>
    </row>
    <row r="230" ht="12.75">
      <c r="A230" s="68" t="s">
        <v>210</v>
      </c>
    </row>
    <row r="233" ht="12.75">
      <c r="A233" s="44" t="s">
        <v>255</v>
      </c>
    </row>
    <row r="234" ht="12.75">
      <c r="A234" s="46" t="s">
        <v>256</v>
      </c>
    </row>
    <row r="235" ht="12.75">
      <c r="A235" s="46" t="s">
        <v>257</v>
      </c>
    </row>
    <row r="236" ht="12.75">
      <c r="A236" s="46" t="s">
        <v>258</v>
      </c>
    </row>
    <row r="237" ht="12.75">
      <c r="A237" s="46" t="s">
        <v>259</v>
      </c>
    </row>
    <row r="238" ht="12.75">
      <c r="A238" s="46" t="s">
        <v>260</v>
      </c>
    </row>
    <row r="239" ht="12.75">
      <c r="A239" s="46" t="s">
        <v>261</v>
      </c>
    </row>
    <row r="240" ht="12.75">
      <c r="A240" s="46" t="s">
        <v>262</v>
      </c>
    </row>
    <row r="241" ht="12.75">
      <c r="A241" s="68" t="s">
        <v>210</v>
      </c>
    </row>
    <row r="242" ht="12.75">
      <c r="A242" s="68" t="s">
        <v>196</v>
      </c>
    </row>
    <row r="245" ht="12.75">
      <c r="A245" s="44" t="s">
        <v>263</v>
      </c>
    </row>
    <row r="246" ht="12.75">
      <c r="A246" s="46" t="s">
        <v>264</v>
      </c>
    </row>
    <row r="247" ht="12.75">
      <c r="A247" s="46" t="s">
        <v>265</v>
      </c>
    </row>
    <row r="248" ht="12.75">
      <c r="A248" s="46" t="s">
        <v>266</v>
      </c>
    </row>
    <row r="249" ht="12.75">
      <c r="A249" s="46" t="s">
        <v>267</v>
      </c>
    </row>
    <row r="250" ht="12.75">
      <c r="A250" s="46" t="s">
        <v>268</v>
      </c>
    </row>
    <row r="251" ht="12.75">
      <c r="A251" s="68" t="s">
        <v>210</v>
      </c>
    </row>
    <row r="252" ht="12.75">
      <c r="A252" s="68" t="s">
        <v>196</v>
      </c>
    </row>
    <row r="255" ht="12.75">
      <c r="A255" s="44" t="s">
        <v>269</v>
      </c>
    </row>
    <row r="256" ht="12.75">
      <c r="A256" s="46" t="s">
        <v>270</v>
      </c>
    </row>
    <row r="257" ht="12.75">
      <c r="A257" s="46" t="s">
        <v>271</v>
      </c>
    </row>
    <row r="258" ht="12.75">
      <c r="A258" s="68" t="s">
        <v>210</v>
      </c>
    </row>
    <row r="261" ht="12.75">
      <c r="A261" s="44" t="s">
        <v>272</v>
      </c>
    </row>
    <row r="262" ht="12.75">
      <c r="A262" s="46" t="s">
        <v>273</v>
      </c>
    </row>
    <row r="263" ht="12.75">
      <c r="A263" s="46" t="s">
        <v>274</v>
      </c>
    </row>
    <row r="264" ht="12.75">
      <c r="A264" s="46" t="s">
        <v>275</v>
      </c>
    </row>
    <row r="265" ht="12.75">
      <c r="A265" s="46" t="s">
        <v>259</v>
      </c>
    </row>
    <row r="266" ht="12.75">
      <c r="A266" s="46" t="s">
        <v>276</v>
      </c>
    </row>
    <row r="267" ht="12.75">
      <c r="A267" s="46" t="s">
        <v>277</v>
      </c>
    </row>
    <row r="268" ht="12.75">
      <c r="A268" s="68" t="s">
        <v>210</v>
      </c>
    </row>
    <row r="269" ht="12.75">
      <c r="A269" s="68" t="s">
        <v>196</v>
      </c>
    </row>
    <row r="272" ht="12.75">
      <c r="A272" s="44" t="s">
        <v>278</v>
      </c>
    </row>
    <row r="273" ht="12.75">
      <c r="A273" s="46" t="s">
        <v>279</v>
      </c>
    </row>
    <row r="274" ht="12.75">
      <c r="A274" s="46" t="s">
        <v>280</v>
      </c>
    </row>
    <row r="275" ht="12.75">
      <c r="A275" s="46" t="s">
        <v>281</v>
      </c>
    </row>
    <row r="276" ht="12.75">
      <c r="A276" s="46" t="s">
        <v>282</v>
      </c>
    </row>
    <row r="277" ht="12.75">
      <c r="A277" s="68" t="s">
        <v>210</v>
      </c>
    </row>
    <row r="280" ht="12.75">
      <c r="A280" s="44" t="s">
        <v>283</v>
      </c>
    </row>
    <row r="281" ht="12.75">
      <c r="A281" s="46" t="s">
        <v>284</v>
      </c>
    </row>
    <row r="282" ht="12.75">
      <c r="A282" s="46" t="s">
        <v>285</v>
      </c>
    </row>
    <row r="283" ht="12.75">
      <c r="A283" s="46" t="s">
        <v>259</v>
      </c>
    </row>
    <row r="284" ht="12.75">
      <c r="A284" s="46" t="s">
        <v>276</v>
      </c>
    </row>
    <row r="285" ht="12.75">
      <c r="A285" s="46" t="s">
        <v>277</v>
      </c>
    </row>
    <row r="286" ht="12.75">
      <c r="A286" s="68" t="s">
        <v>210</v>
      </c>
    </row>
    <row r="287" ht="12.75">
      <c r="A287" s="68" t="s">
        <v>196</v>
      </c>
    </row>
    <row r="290" ht="12.75">
      <c r="A290" s="44" t="s">
        <v>286</v>
      </c>
    </row>
    <row r="291" ht="12.75">
      <c r="A291" s="46" t="s">
        <v>287</v>
      </c>
    </row>
    <row r="292" ht="12.75">
      <c r="A292" s="46" t="s">
        <v>280</v>
      </c>
    </row>
    <row r="293" ht="12.75">
      <c r="A293" s="46" t="s">
        <v>288</v>
      </c>
    </row>
    <row r="294" ht="12.75">
      <c r="A294" s="46" t="s">
        <v>282</v>
      </c>
    </row>
    <row r="295" ht="12.75">
      <c r="A295" s="68" t="s">
        <v>210</v>
      </c>
    </row>
    <row r="298" ht="12.75">
      <c r="A298" s="44" t="s">
        <v>289</v>
      </c>
    </row>
    <row r="299" ht="12.75">
      <c r="A299" s="46" t="s">
        <v>290</v>
      </c>
    </row>
    <row r="300" ht="12.75">
      <c r="A300" s="46" t="s">
        <v>291</v>
      </c>
    </row>
    <row r="301" ht="12.75">
      <c r="A301" s="46" t="s">
        <v>292</v>
      </c>
    </row>
    <row r="302" ht="12.75">
      <c r="A302" s="46" t="s">
        <v>293</v>
      </c>
    </row>
    <row r="303" ht="12.75">
      <c r="A303" s="46" t="s">
        <v>259</v>
      </c>
    </row>
    <row r="304" ht="12.75">
      <c r="A304" s="46" t="s">
        <v>294</v>
      </c>
    </row>
    <row r="305" ht="12.75">
      <c r="A305" s="68" t="s">
        <v>210</v>
      </c>
    </row>
    <row r="306" ht="12.75">
      <c r="A306" s="68" t="s">
        <v>196</v>
      </c>
    </row>
    <row r="309" ht="12.75">
      <c r="A309" s="44" t="s">
        <v>295</v>
      </c>
    </row>
    <row r="310" ht="12.75">
      <c r="A310" s="46" t="s">
        <v>296</v>
      </c>
    </row>
    <row r="311" ht="12.75">
      <c r="A311" s="46" t="s">
        <v>297</v>
      </c>
    </row>
    <row r="312" ht="12.75">
      <c r="A312" s="68" t="s">
        <v>210</v>
      </c>
    </row>
    <row r="313" ht="12.75">
      <c r="A313" s="68"/>
    </row>
    <row r="315" ht="12.75">
      <c r="A315" s="44" t="s">
        <v>298</v>
      </c>
    </row>
    <row r="316" ht="12.75">
      <c r="A316" s="46" t="s">
        <v>299</v>
      </c>
    </row>
    <row r="317" ht="12.75">
      <c r="A317" s="46" t="s">
        <v>300</v>
      </c>
    </row>
    <row r="318" ht="12.75">
      <c r="A318" s="46" t="s">
        <v>301</v>
      </c>
    </row>
    <row r="319" ht="12.75">
      <c r="A319" s="68" t="s">
        <v>210</v>
      </c>
    </row>
    <row r="322" ht="12.75">
      <c r="A322" s="44" t="s">
        <v>302</v>
      </c>
    </row>
    <row r="323" ht="12.75">
      <c r="A323" s="46" t="s">
        <v>303</v>
      </c>
    </row>
    <row r="324" ht="12.75">
      <c r="A324" s="46" t="s">
        <v>304</v>
      </c>
    </row>
    <row r="325" ht="12.75">
      <c r="A325" s="68" t="s">
        <v>210</v>
      </c>
    </row>
    <row r="328" ht="12.75">
      <c r="A328" s="44" t="s">
        <v>305</v>
      </c>
    </row>
    <row r="329" ht="12.75">
      <c r="A329" s="45" t="s">
        <v>306</v>
      </c>
    </row>
    <row r="330" ht="12.75">
      <c r="A330" s="45" t="s">
        <v>405</v>
      </c>
    </row>
    <row r="331" ht="12.75">
      <c r="A331" s="68" t="s">
        <v>210</v>
      </c>
    </row>
    <row r="332" ht="12.75">
      <c r="A332" s="44"/>
    </row>
    <row r="334" ht="12.75">
      <c r="A334" s="44" t="s">
        <v>307</v>
      </c>
    </row>
    <row r="335" ht="12.75">
      <c r="A335" s="45" t="s">
        <v>308</v>
      </c>
    </row>
    <row r="336" ht="12.75">
      <c r="A336" s="68" t="s">
        <v>210</v>
      </c>
    </row>
    <row r="339" ht="12.75">
      <c r="A339" s="44" t="s">
        <v>309</v>
      </c>
    </row>
    <row r="340" ht="12.75">
      <c r="A340" s="45" t="s">
        <v>310</v>
      </c>
    </row>
    <row r="341" ht="12.75">
      <c r="A341" s="68" t="s">
        <v>210</v>
      </c>
    </row>
    <row r="342" ht="12.75">
      <c r="A342" s="44"/>
    </row>
    <row r="344" ht="12.75">
      <c r="A344" s="44" t="s">
        <v>311</v>
      </c>
    </row>
    <row r="345" ht="12.75">
      <c r="A345" s="46" t="s">
        <v>312</v>
      </c>
    </row>
    <row r="346" ht="12.75">
      <c r="A346" s="46" t="s">
        <v>313</v>
      </c>
    </row>
    <row r="347" ht="12.75">
      <c r="A347" s="68" t="s">
        <v>210</v>
      </c>
    </row>
    <row r="350" ht="12.75">
      <c r="A350" s="44" t="s">
        <v>314</v>
      </c>
    </row>
    <row r="351" ht="12.75">
      <c r="A351" s="46" t="s">
        <v>315</v>
      </c>
    </row>
    <row r="352" ht="12.75">
      <c r="A352" s="46" t="s">
        <v>316</v>
      </c>
    </row>
    <row r="353" ht="13.5" customHeight="1">
      <c r="A353" s="68" t="s">
        <v>210</v>
      </c>
    </row>
    <row r="354" ht="12.75">
      <c r="A354" s="44"/>
    </row>
    <row r="356" ht="12.75">
      <c r="A356" s="44" t="s">
        <v>317</v>
      </c>
    </row>
    <row r="357" ht="12.75">
      <c r="A357" s="46" t="s">
        <v>318</v>
      </c>
    </row>
    <row r="358" ht="12.75">
      <c r="A358" s="46" t="s">
        <v>319</v>
      </c>
    </row>
    <row r="359" ht="12.75">
      <c r="A359" s="46" t="s">
        <v>320</v>
      </c>
    </row>
    <row r="360" ht="12.75">
      <c r="A360" s="46" t="s">
        <v>321</v>
      </c>
    </row>
    <row r="361" ht="12.75">
      <c r="A361" s="68" t="s">
        <v>210</v>
      </c>
    </row>
    <row r="364" ht="12.75">
      <c r="A364" s="44" t="s">
        <v>322</v>
      </c>
    </row>
    <row r="365" ht="12.75">
      <c r="A365" s="46" t="s">
        <v>323</v>
      </c>
    </row>
    <row r="366" ht="12.75">
      <c r="A366" s="68" t="s">
        <v>210</v>
      </c>
    </row>
    <row r="369" ht="12.75">
      <c r="A369" s="44" t="s">
        <v>324</v>
      </c>
    </row>
    <row r="370" ht="12.75">
      <c r="A370" s="46" t="s">
        <v>325</v>
      </c>
    </row>
    <row r="371" ht="12.75">
      <c r="A371" s="46" t="s">
        <v>404</v>
      </c>
    </row>
    <row r="372" ht="12.75">
      <c r="A372" s="68" t="s">
        <v>210</v>
      </c>
    </row>
    <row r="375" ht="12.75">
      <c r="A375" s="44" t="s">
        <v>326</v>
      </c>
    </row>
    <row r="376" ht="12.75">
      <c r="A376" s="46" t="s">
        <v>327</v>
      </c>
    </row>
    <row r="377" ht="12.75">
      <c r="A377" s="46" t="s">
        <v>328</v>
      </c>
    </row>
    <row r="378" ht="12.75">
      <c r="A378" s="46" t="s">
        <v>329</v>
      </c>
    </row>
    <row r="379" ht="12.75">
      <c r="A379" s="46" t="s">
        <v>330</v>
      </c>
    </row>
    <row r="380" ht="12.75">
      <c r="A380" s="68" t="s">
        <v>210</v>
      </c>
    </row>
    <row r="381" s="44" customFormat="1" ht="12.75">
      <c r="A381" s="46"/>
    </row>
    <row r="383" ht="12.75">
      <c r="A383" s="44" t="s">
        <v>331</v>
      </c>
    </row>
    <row r="384" ht="12.75">
      <c r="A384" s="46" t="s">
        <v>332</v>
      </c>
    </row>
    <row r="385" ht="12.75">
      <c r="A385" s="46" t="s">
        <v>333</v>
      </c>
    </row>
    <row r="386" ht="12.75">
      <c r="A386" s="46" t="s">
        <v>334</v>
      </c>
    </row>
    <row r="387" ht="12.75">
      <c r="A387" s="46" t="s">
        <v>335</v>
      </c>
    </row>
    <row r="388" ht="12.75">
      <c r="A388" s="46" t="s">
        <v>336</v>
      </c>
    </row>
    <row r="389" spans="1:2" ht="12.75">
      <c r="A389" s="68" t="s">
        <v>210</v>
      </c>
      <c r="B389" s="44"/>
    </row>
    <row r="392" ht="12.75">
      <c r="A392" s="44" t="s">
        <v>337</v>
      </c>
    </row>
    <row r="393" ht="12.75">
      <c r="A393" s="46" t="s">
        <v>338</v>
      </c>
    </row>
    <row r="394" ht="12.75">
      <c r="A394" s="68" t="s">
        <v>210</v>
      </c>
    </row>
  </sheetData>
  <sheetProtection/>
  <hyperlinks>
    <hyperlink ref="A8" r:id="rId1" display="volver a cuenta de resultados"/>
    <hyperlink ref="A18" location="'P y G'!A1" display="volver a cuenta de resultados"/>
    <hyperlink ref="A27" r:id="rId2" display="volver a cuenta de resultados"/>
    <hyperlink ref="A32" r:id="rId3" display="volver a cuenta de resultados"/>
    <hyperlink ref="A40" location="'P y G'!A1" display="volver a cuenta de resultados"/>
    <hyperlink ref="A46" location="'P y G'!A1" display="volver a cuenta de resultados"/>
    <hyperlink ref="A52" location="'P y G'!A1" display="volver a cuenta de resultados"/>
    <hyperlink ref="A58" location="'P y G'!A1" display="volver a cuenta de resultados"/>
    <hyperlink ref="A64" location="'P y G'!A1" display="volver a cuenta de resultados"/>
    <hyperlink ref="A69" location="'P y G'!A1" display="volver a cuenta de resultados"/>
    <hyperlink ref="A81" location="'P y G'!A1" display="volver a cuenta de resultados"/>
    <hyperlink ref="A113" location="tesorería!A1" display="volver a presupuesto de tesorería"/>
    <hyperlink ref="A121" location="tesorería!A1" display="volver a presupuesto de tesorería"/>
    <hyperlink ref="A150" location="tesorería!A1" display="volver a presupuesto de tesorería"/>
    <hyperlink ref="A170" location="tesorería!A1" display="volver a presupuesto de tesorería"/>
    <hyperlink ref="A177" location="tesorería!A1" display="volver a presupuesto de tesorería"/>
    <hyperlink ref="A185" location="tesorería!A1" display="volver a presupuesto de tesorería"/>
    <hyperlink ref="A193" location="tesorería!A1" display="volver a presupuesto de tesorería"/>
    <hyperlink ref="A200" location="tesorería!A1" display="volver a presupuesto de tesorería"/>
    <hyperlink ref="A206" location="tesorería!A1" display="volver a presupuesto de tesorería"/>
    <hyperlink ref="A230" location="balance!A1" display="volver a balance"/>
    <hyperlink ref="A241" location="balance!A1" display="volver a balance"/>
    <hyperlink ref="A251" location="balance!A1" display="volver a balance"/>
    <hyperlink ref="A258" location="balance!A1" display="volver a balance"/>
    <hyperlink ref="A268" location="balance!A1" display="volver a balance"/>
    <hyperlink ref="A277" location="balance!A1" display="volver a balance"/>
    <hyperlink ref="A286" location="balance!A1" display="volver a balance"/>
    <hyperlink ref="A295" location="balance!A1" display="volver a balance"/>
    <hyperlink ref="A319" location="balance!A1" display="volver a balance"/>
    <hyperlink ref="A361" location="balance!A1" display="volver a balance"/>
    <hyperlink ref="A380" location="balance!A1" display="volver a balance"/>
    <hyperlink ref="A389" location="balance!A1" display="volver a balance"/>
    <hyperlink ref="A87" location="'P y G'!A1" display="volver a cuenta de resultados"/>
    <hyperlink ref="A93" location="'P y G'!A1" display="volver a cuenta de resultados"/>
    <hyperlink ref="A99" location="'P y G'!A1" display="volver a cuenta de resultados"/>
    <hyperlink ref="A105" location="'P y G'!A1" display="volver a cuenta de resultados"/>
    <hyperlink ref="A126" location="tesorería!A1" display="volver a presupuesto de tesorería"/>
    <hyperlink ref="A131" location="tesorería!A1" display="volver a presupuesto de tesorería"/>
    <hyperlink ref="A137" location="tesorería!A1" display="volver a presupuesto de tesorería"/>
    <hyperlink ref="A143" location="tesorería!A1" display="volver a presupuesto de tesorería"/>
    <hyperlink ref="A242" location="tesorería!A1" display="volver a presupuesto de tesorería"/>
    <hyperlink ref="A252" location="tesorería!A1" display="volver a presupuesto de tesorería"/>
    <hyperlink ref="A269" location="tesorería!A1" display="volver a presupuesto de tesorería"/>
    <hyperlink ref="A287" location="tesorería!A1" display="volver a presupuesto de tesorería"/>
    <hyperlink ref="A305" location="balance!A1" display="volver a balance"/>
    <hyperlink ref="A306" location="tesorería!A1" display="volver a presupuesto de tesorería"/>
    <hyperlink ref="A157" location="tesorería!A1" display="volver a presupuesto de tesorería"/>
    <hyperlink ref="A163" location="tesorería!A1" display="volver a presupuesto de tesorería"/>
    <hyperlink ref="A164" location="balance!A1" display="volver a balance"/>
    <hyperlink ref="A212" location="tesorería!A1" display="volver a presupuesto de tesorería"/>
    <hyperlink ref="A218" location="tesorería!A1" display="volver a presupuesto de tesorería"/>
    <hyperlink ref="A223" location="tesorería!A1" display="volver a presupuesto de tesorería"/>
    <hyperlink ref="A312" location="balance!A1" display="volver a balance"/>
    <hyperlink ref="A325" location="balance!A1" display="volver a balance"/>
    <hyperlink ref="A331" location="balance!A1" display="volver a balance"/>
    <hyperlink ref="A336" location="balance!A1" display="volver a balance"/>
    <hyperlink ref="A341" location="balance!A1" display="volver a balance"/>
    <hyperlink ref="A347" location="balance!A1" display="volver a balance"/>
    <hyperlink ref="A353" location="balance!A1" display="volver a balance"/>
    <hyperlink ref="A366" location="balance!A1" display="volver a balance"/>
    <hyperlink ref="A372" location="balance!A1" display="volver a balance"/>
    <hyperlink ref="A394" location="balance!A1" display="volver a balance"/>
    <hyperlink ref="A138" location="balance!A1" display="volver a balance"/>
  </hyperlinks>
  <printOptions/>
  <pageMargins left="0.7874015748031497" right="0.7874015748031497" top="0.984251968503937" bottom="0.984251968503937" header="0" footer="0"/>
  <pageSetup horizontalDpi="600" verticalDpi="600" orientation="landscape" paperSize="9" r:id="rId5"/>
  <headerFooter alignWithMargins="0">
    <oddHeader>&amp;L&amp;G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lguerra</cp:lastModifiedBy>
  <cp:lastPrinted>2012-01-13T10:32:26Z</cp:lastPrinted>
  <dcterms:created xsi:type="dcterms:W3CDTF">2005-08-24T08:05:59Z</dcterms:created>
  <dcterms:modified xsi:type="dcterms:W3CDTF">2021-10-22T10:48:39Z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